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persons/person.xml" ContentType="application/vnd.ms-excel.person+xml"/>
  <Override PartName="/xl/richData/rdrichvalue.xml" ContentType="application/vnd.ms-excel.rdrichvalue+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d.docs.live.net/c4c295f22a97e9aa/30 新規ビジネス/株式会社ラクダ/01 コッド/第1回/"/>
    </mc:Choice>
  </mc:AlternateContent>
  <xr:revisionPtr revIDLastSave="26" documentId="8_{C4597629-27DA-4013-9154-85FB5A981471}" xr6:coauthVersionLast="47" xr6:coauthVersionMax="47" xr10:uidLastSave="{7EB3F99D-D2D9-4F83-AEA7-FE6DDC96B418}"/>
  <bookViews>
    <workbookView xWindow="-110" yWindow="-110" windowWidth="22780" windowHeight="14540" activeTab="1" xr2:uid="{639DDDA6-D4F9-4531-B7E4-B6F8A4563BA6}"/>
  </bookViews>
  <sheets>
    <sheet name="試算表" sheetId="6" r:id="rId1"/>
    <sheet name="複数買い最適化" sheetId="20" r:id="rId2"/>
    <sheet name="マニュアル" sheetId="17" r:id="rId3"/>
    <sheet name="①店舗情報" sheetId="1" r:id="rId4"/>
    <sheet name="配送サイズ" sheetId="8" state="hidden" r:id="rId5"/>
    <sheet name="②送料" sheetId="3" r:id="rId6"/>
    <sheet name="③RPP" sheetId="18" r:id="rId7"/>
    <sheet name="④商品別売上データ" sheetId="19" r:id="rId8"/>
    <sheet name="手数料" sheetId="2" state="hidden" r:id="rId9"/>
  </sheets>
  <definedNames>
    <definedName name="_xlnm._FilterDatabase" localSheetId="6" hidden="1">③RPP!$A$7:$AT$116</definedName>
    <definedName name="_xlnm._FilterDatabase" localSheetId="0" hidden="1">試算表!$A$1:$AP$1</definedName>
    <definedName name="JANコード">#REF!</definedName>
    <definedName name="RSL">配送サイズ!$C$2:$C$10</definedName>
    <definedName name="TABLE">#REF!</definedName>
    <definedName name="TITLE">#REF!</definedName>
    <definedName name="メール便">配送サイズ!$D$2:$D$7</definedName>
    <definedName name="送料管理ionsy1a5yo13inat">"2f67b3e0-5a3f-11ee-bd32-0242ac130002"</definedName>
    <definedName name="送料負担なし">配送サイズ!$H$2</definedName>
    <definedName name="宅急便">配送サイズ!$B$2:$B$13</definedName>
    <definedName name="宅急便コンパクト">配送サイズ!$G$2</definedName>
    <definedName name="宅配便">配送サイズ!$B$2:$B$13</definedName>
    <definedName name="定形外郵便規格外">配送サイズ!$F$2:$F$9</definedName>
    <definedName name="定形外郵便規格内">配送サイズ!$E$2:$E$7</definedName>
    <definedName name="立山倉庫得意先別数量202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 i="6" l="1"/>
  <c r="V2" i="6" s="1"/>
  <c r="W2" i="6" s="1"/>
  <c r="Q2" i="6"/>
  <c r="R2" i="6"/>
  <c r="I5" i="20"/>
  <c r="H5" i="20"/>
  <c r="S2" i="6"/>
  <c r="S3" i="6"/>
  <c r="AM2" i="6"/>
  <c r="AG2" i="6"/>
  <c r="AP2" i="6"/>
  <c r="AM5" i="20" l="1"/>
  <c r="X2" i="6"/>
  <c r="AD2" i="6" s="1"/>
  <c r="AH2" i="6"/>
  <c r="Y2" i="6" l="1"/>
  <c r="Q20" i="6"/>
  <c r="Q18" i="6"/>
  <c r="Q16" i="6"/>
  <c r="Q14" i="6"/>
  <c r="Q13" i="6"/>
  <c r="Q12" i="6"/>
  <c r="AP36" i="6"/>
  <c r="AP35" i="6"/>
  <c r="AP34" i="6"/>
  <c r="AP33" i="6"/>
  <c r="AP32" i="6"/>
  <c r="AP31" i="6"/>
  <c r="AP30" i="6"/>
  <c r="AP29" i="6"/>
  <c r="AP28" i="6"/>
  <c r="AP27" i="6"/>
  <c r="AP26" i="6"/>
  <c r="AP25" i="6"/>
  <c r="AP24" i="6"/>
  <c r="AP23" i="6"/>
  <c r="AP22" i="6"/>
  <c r="AP21" i="6"/>
  <c r="AP20" i="6"/>
  <c r="AP19" i="6"/>
  <c r="AP18" i="6"/>
  <c r="AP17" i="6"/>
  <c r="AP16" i="6"/>
  <c r="AP15" i="6"/>
  <c r="AP14" i="6"/>
  <c r="AP13" i="6"/>
  <c r="AP12" i="6"/>
  <c r="AP11" i="6"/>
  <c r="AP10" i="6"/>
  <c r="AP9" i="6"/>
  <c r="AP8" i="6"/>
  <c r="AP7" i="6"/>
  <c r="AP6" i="6"/>
  <c r="AP5" i="6"/>
  <c r="AP4" i="6"/>
  <c r="AP3" i="6"/>
  <c r="AH11" i="6"/>
  <c r="AH13" i="6"/>
  <c r="AH17" i="6"/>
  <c r="AH18" i="6"/>
  <c r="AH19" i="6"/>
  <c r="AH21" i="6"/>
  <c r="AH22" i="6"/>
  <c r="AH23" i="6"/>
  <c r="AH27" i="6"/>
  <c r="AH8" i="6"/>
  <c r="AH26" i="6"/>
  <c r="AH25" i="6"/>
  <c r="AH24" i="6"/>
  <c r="AH16" i="6"/>
  <c r="AH12" i="6"/>
  <c r="AL2" i="6"/>
  <c r="AL5" i="20" s="1"/>
  <c r="B18" i="1"/>
  <c r="AM36" i="6"/>
  <c r="AL36" i="6"/>
  <c r="AH36" i="6"/>
  <c r="AG36" i="6"/>
  <c r="AD36" i="6"/>
  <c r="AA36" i="6"/>
  <c r="U36" i="6"/>
  <c r="V36" i="6" s="1"/>
  <c r="W36" i="6" s="1"/>
  <c r="S36" i="6"/>
  <c r="R36" i="6"/>
  <c r="Q36" i="6"/>
  <c r="AM35" i="6"/>
  <c r="AL35" i="6"/>
  <c r="AH35" i="6"/>
  <c r="AG35" i="6"/>
  <c r="AD35" i="6"/>
  <c r="AA35" i="6"/>
  <c r="U35" i="6"/>
  <c r="V35" i="6" s="1"/>
  <c r="W35" i="6" s="1"/>
  <c r="S35" i="6"/>
  <c r="R35" i="6"/>
  <c r="Q35" i="6"/>
  <c r="AM34" i="6"/>
  <c r="AL34" i="6"/>
  <c r="AH34" i="6"/>
  <c r="AG34" i="6"/>
  <c r="AD34" i="6"/>
  <c r="AA34" i="6"/>
  <c r="U34" i="6"/>
  <c r="V34" i="6" s="1"/>
  <c r="W34" i="6" s="1"/>
  <c r="S34" i="6"/>
  <c r="R34" i="6"/>
  <c r="Q34" i="6"/>
  <c r="AM33" i="6"/>
  <c r="AL33" i="6"/>
  <c r="AH33" i="6"/>
  <c r="AG33" i="6"/>
  <c r="AD33" i="6"/>
  <c r="AA33" i="6"/>
  <c r="U33" i="6"/>
  <c r="V33" i="6" s="1"/>
  <c r="W33" i="6" s="1"/>
  <c r="S33" i="6"/>
  <c r="R33" i="6"/>
  <c r="Q33" i="6"/>
  <c r="AM32" i="6"/>
  <c r="AL32" i="6"/>
  <c r="AH32" i="6"/>
  <c r="AG32" i="6"/>
  <c r="AD32" i="6"/>
  <c r="AA32" i="6"/>
  <c r="U32" i="6"/>
  <c r="V32" i="6" s="1"/>
  <c r="W32" i="6" s="1"/>
  <c r="S32" i="6"/>
  <c r="R32" i="6"/>
  <c r="Q32" i="6"/>
  <c r="AM31" i="6"/>
  <c r="AL31" i="6"/>
  <c r="AH31" i="6"/>
  <c r="AG31" i="6"/>
  <c r="AD31" i="6"/>
  <c r="AA31" i="6"/>
  <c r="U31" i="6"/>
  <c r="V31" i="6" s="1"/>
  <c r="W31" i="6" s="1"/>
  <c r="S31" i="6"/>
  <c r="R31" i="6"/>
  <c r="Q31" i="6"/>
  <c r="AM30" i="6"/>
  <c r="AL30" i="6"/>
  <c r="AH30" i="6"/>
  <c r="AG30" i="6"/>
  <c r="AD30" i="6"/>
  <c r="AA30" i="6"/>
  <c r="U30" i="6"/>
  <c r="V30" i="6" s="1"/>
  <c r="W30" i="6" s="1"/>
  <c r="S30" i="6"/>
  <c r="R30" i="6"/>
  <c r="Q30" i="6"/>
  <c r="AM29" i="6"/>
  <c r="AL29" i="6"/>
  <c r="AH29" i="6"/>
  <c r="AG29" i="6"/>
  <c r="AD29" i="6"/>
  <c r="AA29" i="6"/>
  <c r="U29" i="6"/>
  <c r="V29" i="6" s="1"/>
  <c r="W29" i="6" s="1"/>
  <c r="S29" i="6"/>
  <c r="R29" i="6"/>
  <c r="Q29" i="6"/>
  <c r="AM28" i="6"/>
  <c r="AL28" i="6"/>
  <c r="AH28" i="6"/>
  <c r="AG28" i="6"/>
  <c r="AD28" i="6"/>
  <c r="AA28" i="6"/>
  <c r="U28" i="6"/>
  <c r="V28" i="6" s="1"/>
  <c r="W28" i="6" s="1"/>
  <c r="S28" i="6"/>
  <c r="R28" i="6"/>
  <c r="Q28" i="6"/>
  <c r="AM27" i="6"/>
  <c r="AL27" i="6"/>
  <c r="AG27" i="6"/>
  <c r="AA27" i="6"/>
  <c r="U27" i="6"/>
  <c r="V27" i="6" s="1"/>
  <c r="W27" i="6" s="1"/>
  <c r="S27" i="6"/>
  <c r="R27" i="6"/>
  <c r="Q27" i="6"/>
  <c r="AM26" i="6"/>
  <c r="AL26" i="6"/>
  <c r="AG26" i="6"/>
  <c r="AA26" i="6"/>
  <c r="U26" i="6"/>
  <c r="V26" i="6" s="1"/>
  <c r="W26" i="6" s="1"/>
  <c r="S26" i="6"/>
  <c r="R26" i="6"/>
  <c r="Q26" i="6"/>
  <c r="AM25" i="6"/>
  <c r="AL25" i="6"/>
  <c r="AG25" i="6"/>
  <c r="AA25" i="6"/>
  <c r="U25" i="6"/>
  <c r="V25" i="6" s="1"/>
  <c r="S25" i="6"/>
  <c r="R25" i="6"/>
  <c r="Q25" i="6"/>
  <c r="AM24" i="6"/>
  <c r="AL24" i="6"/>
  <c r="AG24" i="6"/>
  <c r="AA24" i="6"/>
  <c r="U24" i="6"/>
  <c r="V24" i="6" s="1"/>
  <c r="S24" i="6"/>
  <c r="R24" i="6"/>
  <c r="Q24" i="6"/>
  <c r="AM23" i="6"/>
  <c r="AL23" i="6"/>
  <c r="AG23" i="6"/>
  <c r="AA23" i="6"/>
  <c r="U23" i="6"/>
  <c r="S23" i="6"/>
  <c r="R23" i="6"/>
  <c r="Q23" i="6"/>
  <c r="AM22" i="6"/>
  <c r="AL22" i="6"/>
  <c r="AG22" i="6"/>
  <c r="AA22" i="6"/>
  <c r="U22" i="6"/>
  <c r="S22" i="6"/>
  <c r="R22" i="6"/>
  <c r="Q22" i="6"/>
  <c r="AM21" i="6"/>
  <c r="AL21" i="6"/>
  <c r="AG21" i="6"/>
  <c r="AA21" i="6"/>
  <c r="U21" i="6"/>
  <c r="V21" i="6" s="1"/>
  <c r="S21" i="6"/>
  <c r="R21" i="6"/>
  <c r="Q21" i="6"/>
  <c r="AM20" i="6"/>
  <c r="AL20" i="6"/>
  <c r="AH20" i="6"/>
  <c r="AG20" i="6"/>
  <c r="AA20" i="6"/>
  <c r="U20" i="6"/>
  <c r="V20" i="6" s="1"/>
  <c r="S20" i="6"/>
  <c r="R20" i="6"/>
  <c r="AM19" i="6"/>
  <c r="AL19" i="6"/>
  <c r="AG19" i="6"/>
  <c r="AA19" i="6"/>
  <c r="U19" i="6"/>
  <c r="V19" i="6" s="1"/>
  <c r="S19" i="6"/>
  <c r="R19" i="6"/>
  <c r="Q19" i="6"/>
  <c r="AM18" i="6"/>
  <c r="AL18" i="6"/>
  <c r="AG18" i="6"/>
  <c r="AA18" i="6"/>
  <c r="U18" i="6"/>
  <c r="V18" i="6" s="1"/>
  <c r="S18" i="6"/>
  <c r="R18" i="6"/>
  <c r="AM17" i="6"/>
  <c r="AL17" i="6"/>
  <c r="AG17" i="6"/>
  <c r="AA17" i="6"/>
  <c r="U17" i="6"/>
  <c r="V17" i="6" s="1"/>
  <c r="S17" i="6"/>
  <c r="R17" i="6"/>
  <c r="Q17" i="6"/>
  <c r="AM16" i="6"/>
  <c r="AL16" i="6"/>
  <c r="AG16" i="6"/>
  <c r="AA16" i="6"/>
  <c r="U16" i="6"/>
  <c r="V16" i="6" s="1"/>
  <c r="S16" i="6"/>
  <c r="R16" i="6"/>
  <c r="AM15" i="6"/>
  <c r="AL15" i="6"/>
  <c r="AH15" i="6"/>
  <c r="AG15" i="6"/>
  <c r="AA15" i="6"/>
  <c r="U15" i="6"/>
  <c r="S15" i="6"/>
  <c r="R15" i="6"/>
  <c r="Q15" i="6"/>
  <c r="AM14" i="6"/>
  <c r="AL14" i="6"/>
  <c r="AH14" i="6"/>
  <c r="AG14" i="6"/>
  <c r="AA14" i="6"/>
  <c r="U14" i="6"/>
  <c r="S14" i="6"/>
  <c r="R14" i="6"/>
  <c r="AM13" i="6"/>
  <c r="AL13" i="6"/>
  <c r="AG13" i="6"/>
  <c r="AA13" i="6"/>
  <c r="U13" i="6"/>
  <c r="V13" i="6" s="1"/>
  <c r="S13" i="6"/>
  <c r="R13" i="6"/>
  <c r="AM12" i="6"/>
  <c r="AL12" i="6"/>
  <c r="AG12" i="6"/>
  <c r="AA12" i="6"/>
  <c r="U12" i="6"/>
  <c r="V12" i="6" s="1"/>
  <c r="S12" i="6"/>
  <c r="R12" i="6"/>
  <c r="AM11" i="6"/>
  <c r="AL11" i="6"/>
  <c r="AG11" i="6"/>
  <c r="AA11" i="6"/>
  <c r="U11" i="6"/>
  <c r="V11" i="6" s="1"/>
  <c r="S11" i="6"/>
  <c r="R11" i="6"/>
  <c r="Q11" i="6"/>
  <c r="C32" i="3"/>
  <c r="C26" i="3"/>
  <c r="C25" i="3"/>
  <c r="C24" i="3"/>
  <c r="C23" i="3"/>
  <c r="C22" i="3"/>
  <c r="C21" i="3"/>
  <c r="A24" i="3"/>
  <c r="A23" i="3"/>
  <c r="A26" i="3"/>
  <c r="A25" i="3"/>
  <c r="A22" i="3"/>
  <c r="A21" i="3"/>
  <c r="Q58" i="3"/>
  <c r="Q7" i="3"/>
  <c r="B20" i="1"/>
  <c r="B5" i="1"/>
  <c r="AL10" i="6"/>
  <c r="AL9" i="6"/>
  <c r="AL8" i="6"/>
  <c r="AL7" i="6"/>
  <c r="AL6" i="6"/>
  <c r="AL5" i="6"/>
  <c r="AL4" i="6"/>
  <c r="AL3" i="6"/>
  <c r="Z2" i="6" l="1"/>
  <c r="W13" i="6"/>
  <c r="X13" i="6" s="1"/>
  <c r="W21" i="6"/>
  <c r="X21" i="6" s="1"/>
  <c r="W16" i="6"/>
  <c r="X16" i="6" s="1"/>
  <c r="W19" i="6"/>
  <c r="X19" i="6" s="1"/>
  <c r="V14" i="6"/>
  <c r="W14" i="6" s="1"/>
  <c r="X14" i="6" s="1"/>
  <c r="W17" i="6"/>
  <c r="V22" i="6"/>
  <c r="W22" i="6" s="1"/>
  <c r="W24" i="6"/>
  <c r="X24" i="6" s="1"/>
  <c r="AD24" i="6" s="1"/>
  <c r="W11" i="6"/>
  <c r="X11" i="6" s="1"/>
  <c r="AD11" i="6" s="1"/>
  <c r="W12" i="6"/>
  <c r="X12" i="6" s="1"/>
  <c r="AD12" i="6" s="1"/>
  <c r="W20" i="6"/>
  <c r="X20" i="6" s="1"/>
  <c r="AD20" i="6" s="1"/>
  <c r="V15" i="6"/>
  <c r="W15" i="6" s="1"/>
  <c r="X15" i="6" s="1"/>
  <c r="W18" i="6"/>
  <c r="X18" i="6" s="1"/>
  <c r="V23" i="6"/>
  <c r="W23" i="6" s="1"/>
  <c r="X23" i="6" s="1"/>
  <c r="X26" i="6"/>
  <c r="AD26" i="6" s="1"/>
  <c r="X30" i="6"/>
  <c r="Y30" i="6" s="1"/>
  <c r="X33" i="6"/>
  <c r="Y33" i="6" s="1"/>
  <c r="X28" i="6"/>
  <c r="Y28" i="6" s="1"/>
  <c r="X31" i="6"/>
  <c r="Y31" i="6" s="1"/>
  <c r="X34" i="6"/>
  <c r="Y34" i="6" s="1"/>
  <c r="X32" i="6"/>
  <c r="Y32" i="6" s="1"/>
  <c r="X36" i="6"/>
  <c r="Y36" i="6"/>
  <c r="X29" i="6"/>
  <c r="Y29" i="6" s="1"/>
  <c r="X27" i="6"/>
  <c r="AD27" i="6" s="1"/>
  <c r="X35" i="6"/>
  <c r="Y35" i="6" s="1"/>
  <c r="W25" i="6"/>
  <c r="X25" i="6" s="1"/>
  <c r="AD25" i="6" s="1"/>
  <c r="AM9" i="6"/>
  <c r="AH9" i="6"/>
  <c r="AG9" i="6"/>
  <c r="AA9" i="6"/>
  <c r="U9" i="6"/>
  <c r="V9" i="6" s="1"/>
  <c r="W9" i="6" s="1"/>
  <c r="S9" i="6"/>
  <c r="R9" i="6"/>
  <c r="Q9" i="6"/>
  <c r="AM6" i="6"/>
  <c r="AH6" i="6"/>
  <c r="AG6" i="6"/>
  <c r="U6" i="6"/>
  <c r="V6" i="6" s="1"/>
  <c r="S6" i="6"/>
  <c r="R6" i="6"/>
  <c r="Q6" i="6"/>
  <c r="AM7" i="6"/>
  <c r="AH7" i="6"/>
  <c r="AG7" i="6"/>
  <c r="U7" i="6"/>
  <c r="V7" i="6" s="1"/>
  <c r="W7" i="6" s="1"/>
  <c r="X7" i="6" s="1"/>
  <c r="AD7" i="6" s="1"/>
  <c r="S7" i="6"/>
  <c r="R7" i="6"/>
  <c r="Q7" i="6"/>
  <c r="AM8" i="6"/>
  <c r="AG8" i="6"/>
  <c r="U8" i="6"/>
  <c r="S8" i="6"/>
  <c r="R8" i="6"/>
  <c r="Q8" i="6"/>
  <c r="AM10" i="6"/>
  <c r="AH10" i="6"/>
  <c r="AG10" i="6"/>
  <c r="U10" i="6"/>
  <c r="S10" i="6"/>
  <c r="R10" i="6"/>
  <c r="Q10" i="6"/>
  <c r="AM5" i="6"/>
  <c r="AH5" i="6"/>
  <c r="AG5" i="6"/>
  <c r="U5" i="6"/>
  <c r="S5" i="6"/>
  <c r="R5" i="6"/>
  <c r="Q5" i="6"/>
  <c r="AM4" i="6"/>
  <c r="AH4" i="6"/>
  <c r="AG4" i="6"/>
  <c r="U4" i="6"/>
  <c r="S4" i="6"/>
  <c r="R4" i="6"/>
  <c r="Q4" i="6"/>
  <c r="AM3" i="6"/>
  <c r="AH3" i="6"/>
  <c r="AG3" i="6"/>
  <c r="U3" i="6"/>
  <c r="R3" i="6"/>
  <c r="Q3" i="6"/>
  <c r="E22" i="1"/>
  <c r="X22" i="6" l="1"/>
  <c r="AD22" i="6" s="1"/>
  <c r="Y12" i="6"/>
  <c r="Z12" i="6" s="1"/>
  <c r="Y24" i="6"/>
  <c r="AB24" i="6" s="1"/>
  <c r="Y14" i="6"/>
  <c r="AD14" i="6"/>
  <c r="Y15" i="6"/>
  <c r="Z15" i="6" s="1"/>
  <c r="AD15" i="6"/>
  <c r="X17" i="6"/>
  <c r="AD17" i="6" s="1"/>
  <c r="Y19" i="6"/>
  <c r="AB19" i="6" s="1"/>
  <c r="AD19" i="6"/>
  <c r="Y21" i="6"/>
  <c r="AD21" i="6"/>
  <c r="Y11" i="6"/>
  <c r="Z11" i="6" s="1"/>
  <c r="Y13" i="6"/>
  <c r="AB13" i="6" s="1"/>
  <c r="AD13" i="6"/>
  <c r="Y27" i="6"/>
  <c r="AB27" i="6" s="1"/>
  <c r="Y26" i="6"/>
  <c r="Z26" i="6" s="1"/>
  <c r="Y16" i="6"/>
  <c r="Z16" i="6" s="1"/>
  <c r="AD16" i="6"/>
  <c r="Y18" i="6"/>
  <c r="Z18" i="6" s="1"/>
  <c r="AD18" i="6"/>
  <c r="Y23" i="6"/>
  <c r="AB23" i="6" s="1"/>
  <c r="AD23" i="6"/>
  <c r="Y20" i="6"/>
  <c r="Z20" i="6" s="1"/>
  <c r="AB35" i="6"/>
  <c r="Z35" i="6"/>
  <c r="AB33" i="6"/>
  <c r="Z33" i="6"/>
  <c r="AB34" i="6"/>
  <c r="Z34" i="6"/>
  <c r="AB36" i="6"/>
  <c r="Z36" i="6"/>
  <c r="AB28" i="6"/>
  <c r="Z28" i="6"/>
  <c r="AB31" i="6"/>
  <c r="Z31" i="6"/>
  <c r="AB29" i="6"/>
  <c r="Z29" i="6"/>
  <c r="AB30" i="6"/>
  <c r="Z30" i="6"/>
  <c r="AB32" i="6"/>
  <c r="Z32" i="6"/>
  <c r="Y25" i="6"/>
  <c r="Z25" i="6" s="1"/>
  <c r="AB21" i="6"/>
  <c r="Z21" i="6"/>
  <c r="AB14" i="6"/>
  <c r="Z14" i="6"/>
  <c r="Z24" i="6"/>
  <c r="AB12" i="6"/>
  <c r="V10" i="6"/>
  <c r="W10" i="6" s="1"/>
  <c r="X10" i="6" s="1"/>
  <c r="AD10" i="6" s="1"/>
  <c r="W6" i="6"/>
  <c r="X6" i="6" s="1"/>
  <c r="AD6" i="6" s="1"/>
  <c r="V5" i="6"/>
  <c r="W5" i="6" s="1"/>
  <c r="V8" i="6"/>
  <c r="W8" i="6" s="1"/>
  <c r="X9" i="6"/>
  <c r="V3" i="6"/>
  <c r="W3" i="6" s="1"/>
  <c r="V4" i="6"/>
  <c r="W4" i="6" s="1"/>
  <c r="Y7" i="6"/>
  <c r="AB25" i="6" l="1"/>
  <c r="AE25" i="6" s="1"/>
  <c r="Z13" i="6"/>
  <c r="AB18" i="6"/>
  <c r="AC18" i="6" s="1"/>
  <c r="AB11" i="6"/>
  <c r="AC11" i="6" s="1"/>
  <c r="AB15" i="6"/>
  <c r="AC15" i="6" s="1"/>
  <c r="Z19" i="6"/>
  <c r="Y22" i="6"/>
  <c r="AB26" i="6"/>
  <c r="AC26" i="6" s="1"/>
  <c r="AB16" i="6"/>
  <c r="AE16" i="6" s="1"/>
  <c r="Z23" i="6"/>
  <c r="Y17" i="6"/>
  <c r="AB20" i="6"/>
  <c r="AE20" i="6" s="1"/>
  <c r="Z27" i="6"/>
  <c r="AE32" i="6"/>
  <c r="AC32" i="6"/>
  <c r="AE29" i="6"/>
  <c r="AC29" i="6"/>
  <c r="AE34" i="6"/>
  <c r="AC34" i="6"/>
  <c r="AE36" i="6"/>
  <c r="AC36" i="6"/>
  <c r="AE27" i="6"/>
  <c r="AC27" i="6"/>
  <c r="AC31" i="6"/>
  <c r="AE31" i="6"/>
  <c r="AC33" i="6"/>
  <c r="AE33" i="6"/>
  <c r="AC30" i="6"/>
  <c r="AE30" i="6"/>
  <c r="AC28" i="6"/>
  <c r="AE28" i="6"/>
  <c r="AE35" i="6"/>
  <c r="AC35" i="6"/>
  <c r="AE14" i="6"/>
  <c r="AC14" i="6"/>
  <c r="AE21" i="6"/>
  <c r="AC21" i="6"/>
  <c r="AE19" i="6"/>
  <c r="AC19" i="6"/>
  <c r="AE12" i="6"/>
  <c r="AC12" i="6"/>
  <c r="AE13" i="6"/>
  <c r="AC13" i="6"/>
  <c r="AE23" i="6"/>
  <c r="AC23" i="6"/>
  <c r="AE24" i="6"/>
  <c r="AC24" i="6"/>
  <c r="Y6" i="6"/>
  <c r="Z6" i="6" s="1"/>
  <c r="Y10" i="6"/>
  <c r="Z10" i="6" s="1"/>
  <c r="Y9" i="6"/>
  <c r="AB9" i="6" s="1"/>
  <c r="AD9" i="6"/>
  <c r="X8" i="6"/>
  <c r="AD8" i="6" s="1"/>
  <c r="X4" i="6"/>
  <c r="AD4" i="6" s="1"/>
  <c r="X5" i="6"/>
  <c r="X3" i="6"/>
  <c r="Z7" i="6"/>
  <c r="AE11" i="6" l="1"/>
  <c r="AF11" i="6" s="1"/>
  <c r="AC20" i="6"/>
  <c r="AC25" i="6"/>
  <c r="AE15" i="6"/>
  <c r="AF15" i="6" s="1"/>
  <c r="AE18" i="6"/>
  <c r="AF18" i="6" s="1"/>
  <c r="Z22" i="6"/>
  <c r="AB22" i="6"/>
  <c r="AC16" i="6"/>
  <c r="AE26" i="6"/>
  <c r="AF26" i="6" s="1"/>
  <c r="Z17" i="6"/>
  <c r="AB17" i="6"/>
  <c r="AF30" i="6"/>
  <c r="AI30" i="6"/>
  <c r="AJ30" i="6" s="1"/>
  <c r="AF33" i="6"/>
  <c r="AI33" i="6"/>
  <c r="AJ33" i="6" s="1"/>
  <c r="AF34" i="6"/>
  <c r="AI34" i="6"/>
  <c r="AJ34" i="6" s="1"/>
  <c r="AF31" i="6"/>
  <c r="AI31" i="6"/>
  <c r="AJ31" i="6" s="1"/>
  <c r="AF35" i="6"/>
  <c r="AI35" i="6"/>
  <c r="AJ35" i="6" s="1"/>
  <c r="AF29" i="6"/>
  <c r="AI29" i="6"/>
  <c r="AJ29" i="6" s="1"/>
  <c r="AF28" i="6"/>
  <c r="AI28" i="6"/>
  <c r="AJ28" i="6" s="1"/>
  <c r="AF27" i="6"/>
  <c r="AI27" i="6"/>
  <c r="AJ27" i="6" s="1"/>
  <c r="AF32" i="6"/>
  <c r="AI32" i="6"/>
  <c r="AJ32" i="6" s="1"/>
  <c r="AF36" i="6"/>
  <c r="AI36" i="6"/>
  <c r="AJ36" i="6" s="1"/>
  <c r="AF13" i="6"/>
  <c r="AI13" i="6"/>
  <c r="AJ13" i="6" s="1"/>
  <c r="AF23" i="6"/>
  <c r="AI23" i="6"/>
  <c r="AJ23" i="6" s="1"/>
  <c r="AF21" i="6"/>
  <c r="AI21" i="6"/>
  <c r="AJ21" i="6" s="1"/>
  <c r="AF20" i="6"/>
  <c r="AI20" i="6"/>
  <c r="AJ20" i="6" s="1"/>
  <c r="AF25" i="6"/>
  <c r="AI25" i="6"/>
  <c r="AJ25" i="6" s="1"/>
  <c r="AF24" i="6"/>
  <c r="AI24" i="6"/>
  <c r="AJ24" i="6" s="1"/>
  <c r="AF12" i="6"/>
  <c r="AI12" i="6"/>
  <c r="AJ12" i="6" s="1"/>
  <c r="AF16" i="6"/>
  <c r="AI16" i="6"/>
  <c r="AJ16" i="6" s="1"/>
  <c r="AI11" i="6"/>
  <c r="AJ11" i="6" s="1"/>
  <c r="AF19" i="6"/>
  <c r="AI19" i="6"/>
  <c r="AJ19" i="6" s="1"/>
  <c r="AF14" i="6"/>
  <c r="AI14" i="6"/>
  <c r="AJ14" i="6" s="1"/>
  <c r="Z9" i="6"/>
  <c r="Y8" i="6"/>
  <c r="Z8" i="6" s="1"/>
  <c r="Y4" i="6"/>
  <c r="Z4" i="6" s="1"/>
  <c r="Y5" i="6"/>
  <c r="Z5" i="6" s="1"/>
  <c r="AD5" i="6"/>
  <c r="Y3" i="6"/>
  <c r="AD3" i="6"/>
  <c r="AE9" i="6"/>
  <c r="AC9" i="6"/>
  <c r="AI15" i="6" l="1"/>
  <c r="AJ15" i="6" s="1"/>
  <c r="AI18" i="6"/>
  <c r="AJ18" i="6" s="1"/>
  <c r="AC22" i="6"/>
  <c r="AE22" i="6"/>
  <c r="AI26" i="6"/>
  <c r="AJ26" i="6" s="1"/>
  <c r="AC17" i="6"/>
  <c r="AE17" i="6"/>
  <c r="Z3" i="6"/>
  <c r="AF9" i="6"/>
  <c r="AI9" i="6"/>
  <c r="AJ9" i="6" s="1"/>
  <c r="Q11" i="3"/>
  <c r="Q10" i="3"/>
  <c r="Q9" i="3"/>
  <c r="Q8" i="3"/>
  <c r="Q12" i="3"/>
  <c r="AF22" i="6" l="1"/>
  <c r="AI22" i="6"/>
  <c r="AJ22" i="6" s="1"/>
  <c r="AI17" i="6"/>
  <c r="AJ17" i="6" s="1"/>
  <c r="AF17" i="6"/>
  <c r="B11" i="1"/>
  <c r="F12" i="1"/>
  <c r="G12" i="1"/>
  <c r="H12" i="1"/>
  <c r="I12" i="1"/>
  <c r="J12" i="1"/>
  <c r="K12" i="1"/>
  <c r="L12" i="1"/>
  <c r="M12" i="1"/>
  <c r="E12" i="1"/>
  <c r="M11" i="1"/>
  <c r="L11" i="1"/>
  <c r="K11" i="1"/>
  <c r="J11" i="1"/>
  <c r="I11" i="1"/>
  <c r="H11" i="1"/>
  <c r="G11" i="1"/>
  <c r="F11" i="1"/>
  <c r="F13" i="1" s="1"/>
  <c r="E11" i="1"/>
  <c r="C36" i="3"/>
  <c r="C9" i="3"/>
  <c r="C11" i="3"/>
  <c r="Q13" i="3"/>
  <c r="C13" i="3" s="1"/>
  <c r="Q14" i="3"/>
  <c r="C14" i="3" s="1"/>
  <c r="Q15" i="3"/>
  <c r="C15" i="3" s="1"/>
  <c r="Q16" i="3"/>
  <c r="C16" i="3" s="1"/>
  <c r="Q17" i="3"/>
  <c r="C17" i="3" s="1"/>
  <c r="Q18" i="3"/>
  <c r="C18" i="3" s="1"/>
  <c r="C58" i="3"/>
  <c r="A58" i="3"/>
  <c r="A49" i="3"/>
  <c r="A50" i="3"/>
  <c r="A51" i="3"/>
  <c r="A52" i="3"/>
  <c r="A53" i="3"/>
  <c r="A54" i="3"/>
  <c r="A55" i="3"/>
  <c r="A48" i="3"/>
  <c r="A41" i="3"/>
  <c r="A42" i="3"/>
  <c r="A43" i="3"/>
  <c r="A44" i="3"/>
  <c r="A45" i="3"/>
  <c r="A40" i="3"/>
  <c r="A33" i="3"/>
  <c r="A34" i="3"/>
  <c r="A35" i="3"/>
  <c r="A36" i="3"/>
  <c r="A37" i="3"/>
  <c r="A32" i="3"/>
  <c r="A27" i="3"/>
  <c r="A28" i="3"/>
  <c r="A29" i="3"/>
  <c r="A8" i="3"/>
  <c r="A9" i="3"/>
  <c r="A10" i="3"/>
  <c r="A11" i="3"/>
  <c r="A12" i="3"/>
  <c r="A13" i="3"/>
  <c r="A14" i="3"/>
  <c r="A15" i="3"/>
  <c r="A16" i="3"/>
  <c r="A17" i="3"/>
  <c r="A18" i="3"/>
  <c r="A7" i="3"/>
  <c r="C51" i="3"/>
  <c r="C52" i="3"/>
  <c r="C53" i="3"/>
  <c r="C54" i="3"/>
  <c r="C55" i="3"/>
  <c r="C50" i="3"/>
  <c r="C49" i="3"/>
  <c r="C48" i="3"/>
  <c r="C45" i="3"/>
  <c r="C44" i="3"/>
  <c r="C43" i="3"/>
  <c r="C42" i="3"/>
  <c r="C41" i="3"/>
  <c r="C40" i="3"/>
  <c r="AA2" i="6" s="1"/>
  <c r="AB2" i="6" s="1"/>
  <c r="C35" i="3"/>
  <c r="C37" i="3"/>
  <c r="C34" i="3"/>
  <c r="C33" i="3"/>
  <c r="C27" i="3"/>
  <c r="C28" i="3"/>
  <c r="C29" i="3"/>
  <c r="C7" i="3"/>
  <c r="C8" i="3"/>
  <c r="C10" i="3"/>
  <c r="C12" i="3"/>
  <c r="E6" i="1"/>
  <c r="E4" i="1"/>
  <c r="H3" i="1"/>
  <c r="I3" i="1"/>
  <c r="J3" i="1"/>
  <c r="K3" i="1"/>
  <c r="L3" i="1"/>
  <c r="G3" i="1"/>
  <c r="F3" i="1"/>
  <c r="F6" i="1"/>
  <c r="F4" i="1"/>
  <c r="G6" i="1"/>
  <c r="H6" i="1"/>
  <c r="I6" i="1"/>
  <c r="I7" i="1" s="1"/>
  <c r="J6" i="1"/>
  <c r="K6" i="1"/>
  <c r="L6" i="1"/>
  <c r="G4" i="1"/>
  <c r="G5" i="1" s="1"/>
  <c r="H4" i="1"/>
  <c r="H5" i="1" s="1"/>
  <c r="I4" i="1"/>
  <c r="I5" i="1" s="1"/>
  <c r="J4" i="1"/>
  <c r="J5" i="1" s="1"/>
  <c r="K4" i="1"/>
  <c r="L4" i="1"/>
  <c r="E3" i="1"/>
  <c r="B22" i="1"/>
  <c r="AE2" i="6" l="1"/>
  <c r="AC2" i="6"/>
  <c r="AA3" i="6"/>
  <c r="AB3" i="6" s="1"/>
  <c r="AA6" i="6"/>
  <c r="AB6" i="6" s="1"/>
  <c r="AA7" i="6"/>
  <c r="AB7" i="6" s="1"/>
  <c r="AA8" i="6"/>
  <c r="AB8" i="6" s="1"/>
  <c r="AA10" i="6"/>
  <c r="AA5" i="6"/>
  <c r="AB5" i="6" s="1"/>
  <c r="AA4" i="6"/>
  <c r="AB4" i="6" s="1"/>
  <c r="L5" i="1"/>
  <c r="K5" i="1"/>
  <c r="G7" i="1"/>
  <c r="J13" i="1"/>
  <c r="L13" i="1"/>
  <c r="H13" i="1"/>
  <c r="E13" i="1"/>
  <c r="I13" i="1"/>
  <c r="M13" i="1"/>
  <c r="G13" i="1"/>
  <c r="K13" i="1"/>
  <c r="K7" i="1"/>
  <c r="E5" i="1"/>
  <c r="L7" i="1"/>
  <c r="H7" i="1"/>
  <c r="E7" i="1"/>
  <c r="J7" i="1"/>
  <c r="F5" i="1"/>
  <c r="F7" i="1"/>
  <c r="C3" i="2"/>
  <c r="AF2" i="6" l="1"/>
  <c r="AI2" i="6"/>
  <c r="AJ2" i="6" s="1"/>
  <c r="AE8" i="6"/>
  <c r="AC8" i="6"/>
  <c r="AC7" i="6"/>
  <c r="AE7" i="6"/>
  <c r="AE6" i="6"/>
  <c r="AC6" i="6"/>
  <c r="AE3" i="6"/>
  <c r="AC3" i="6"/>
  <c r="AB10" i="6"/>
  <c r="AC10" i="6" s="1"/>
  <c r="AE5" i="6"/>
  <c r="AC5" i="6"/>
  <c r="AE4" i="6"/>
  <c r="AC4" i="6"/>
  <c r="M14" i="1"/>
  <c r="B19" i="1" s="1"/>
  <c r="M5" i="1"/>
  <c r="M7" i="1"/>
  <c r="AI6" i="6" l="1"/>
  <c r="AJ6" i="6" s="1"/>
  <c r="AF6" i="6"/>
  <c r="AI7" i="6"/>
  <c r="AJ7" i="6" s="1"/>
  <c r="AF7" i="6"/>
  <c r="AF3" i="6"/>
  <c r="AI3" i="6"/>
  <c r="AJ3" i="6" s="1"/>
  <c r="AI8" i="6"/>
  <c r="AJ8" i="6" s="1"/>
  <c r="AF8" i="6"/>
  <c r="M8" i="1"/>
  <c r="B15" i="1" s="1"/>
  <c r="AE10" i="6"/>
  <c r="AI10" i="6" s="1"/>
  <c r="AJ10" i="6" s="1"/>
  <c r="AI5" i="6"/>
  <c r="AJ5" i="6" s="1"/>
  <c r="AF5" i="6"/>
  <c r="AF4" i="6"/>
  <c r="AI4" i="6"/>
  <c r="AJ4" i="6" s="1"/>
  <c r="C7" i="2"/>
  <c r="C6" i="2"/>
  <c r="C5" i="2"/>
  <c r="C4" i="2"/>
  <c r="AF10" i="6" l="1"/>
  <c r="B21" i="1"/>
  <c r="B23" i="1" s="1"/>
  <c r="AK2" i="6" l="1"/>
  <c r="AN2" i="6" s="1"/>
  <c r="AO2" i="6" s="1"/>
  <c r="AK34" i="6"/>
  <c r="AN34" i="6" s="1"/>
  <c r="AQ34" i="6" s="1"/>
  <c r="AK32" i="6"/>
  <c r="AN32" i="6" s="1"/>
  <c r="AQ32" i="6" s="1"/>
  <c r="AK33" i="6"/>
  <c r="AN33" i="6" s="1"/>
  <c r="AQ33" i="6" s="1"/>
  <c r="AK26" i="6"/>
  <c r="AN26" i="6" s="1"/>
  <c r="AQ26" i="6" s="1"/>
  <c r="AK29" i="6"/>
  <c r="AN29" i="6" s="1"/>
  <c r="AQ29" i="6" s="1"/>
  <c r="AK30" i="6"/>
  <c r="AN30" i="6" s="1"/>
  <c r="AQ30" i="6" s="1"/>
  <c r="AK28" i="6"/>
  <c r="AN28" i="6" s="1"/>
  <c r="AQ28" i="6" s="1"/>
  <c r="AK27" i="6"/>
  <c r="AN27" i="6" s="1"/>
  <c r="AQ27" i="6" s="1"/>
  <c r="AK31" i="6"/>
  <c r="AN31" i="6" s="1"/>
  <c r="AQ31" i="6" s="1"/>
  <c r="AK35" i="6"/>
  <c r="AN35" i="6" s="1"/>
  <c r="AQ35" i="6" s="1"/>
  <c r="AK36" i="6"/>
  <c r="AN36" i="6" s="1"/>
  <c r="AQ36" i="6" s="1"/>
  <c r="AK21" i="6"/>
  <c r="AN21" i="6" s="1"/>
  <c r="AQ21" i="6" s="1"/>
  <c r="AK14" i="6"/>
  <c r="AN14" i="6" s="1"/>
  <c r="AQ14" i="6" s="1"/>
  <c r="AK17" i="6"/>
  <c r="AN17" i="6" s="1"/>
  <c r="AK24" i="6"/>
  <c r="AN24" i="6" s="1"/>
  <c r="AQ24" i="6" s="1"/>
  <c r="AK15" i="6"/>
  <c r="AN15" i="6" s="1"/>
  <c r="AQ15" i="6" s="1"/>
  <c r="AK19" i="6"/>
  <c r="AN19" i="6" s="1"/>
  <c r="AQ19" i="6" s="1"/>
  <c r="AK20" i="6"/>
  <c r="AN20" i="6" s="1"/>
  <c r="AQ20" i="6" s="1"/>
  <c r="AK22" i="6"/>
  <c r="AN22" i="6" s="1"/>
  <c r="AQ22" i="6" s="1"/>
  <c r="AK18" i="6"/>
  <c r="AN18" i="6" s="1"/>
  <c r="AQ18" i="6" s="1"/>
  <c r="AK25" i="6"/>
  <c r="AN25" i="6" s="1"/>
  <c r="AQ25" i="6" s="1"/>
  <c r="AK13" i="6"/>
  <c r="AN13" i="6" s="1"/>
  <c r="AQ13" i="6" s="1"/>
  <c r="AK23" i="6"/>
  <c r="AN23" i="6" s="1"/>
  <c r="AQ23" i="6" s="1"/>
  <c r="AK16" i="6"/>
  <c r="AN16" i="6" s="1"/>
  <c r="AQ16" i="6" s="1"/>
  <c r="AK12" i="6"/>
  <c r="AN12" i="6" s="1"/>
  <c r="AQ12" i="6" s="1"/>
  <c r="AK11" i="6"/>
  <c r="AN11" i="6" s="1"/>
  <c r="AQ11" i="6" s="1"/>
  <c r="AK10" i="6"/>
  <c r="AN10" i="6" s="1"/>
  <c r="AQ10" i="6" s="1"/>
  <c r="AK6" i="6"/>
  <c r="AN6" i="6" s="1"/>
  <c r="AQ6" i="6" s="1"/>
  <c r="AK7" i="6"/>
  <c r="AN7" i="6" s="1"/>
  <c r="AQ7" i="6" s="1"/>
  <c r="AK9" i="6"/>
  <c r="AN9" i="6" s="1"/>
  <c r="AQ9" i="6" s="1"/>
  <c r="AK8" i="6"/>
  <c r="AN8" i="6" s="1"/>
  <c r="AQ8" i="6" s="1"/>
  <c r="AK5" i="6"/>
  <c r="AN5" i="6" s="1"/>
  <c r="AQ5" i="6" s="1"/>
  <c r="AK4" i="6"/>
  <c r="AN4" i="6" s="1"/>
  <c r="AQ4" i="6" s="1"/>
  <c r="AK3" i="6"/>
  <c r="AN3" i="6" s="1"/>
  <c r="AQ3" i="6" s="1"/>
  <c r="AQ2" i="6" l="1"/>
  <c r="AO17" i="6"/>
  <c r="AQ17" i="6"/>
  <c r="AO23" i="6"/>
  <c r="AO24" i="6"/>
  <c r="AO28" i="6"/>
  <c r="AO27" i="6"/>
  <c r="AO13" i="6"/>
  <c r="AO30" i="6"/>
  <c r="AO15" i="6"/>
  <c r="AO25" i="6"/>
  <c r="AO14" i="6"/>
  <c r="AO29" i="6"/>
  <c r="AO18" i="6"/>
  <c r="AO21" i="6"/>
  <c r="AO26" i="6"/>
  <c r="AO22" i="6"/>
  <c r="AO36" i="6"/>
  <c r="AO33" i="6"/>
  <c r="AO16" i="6"/>
  <c r="AO11" i="6"/>
  <c r="AO20" i="6"/>
  <c r="AO35" i="6"/>
  <c r="AO32" i="6"/>
  <c r="AO12" i="6"/>
  <c r="AO19" i="6"/>
  <c r="AO31" i="6"/>
  <c r="AO34" i="6"/>
  <c r="AO8" i="6"/>
  <c r="AO9" i="6"/>
  <c r="AO4" i="6"/>
  <c r="AO3" i="6"/>
  <c r="AO5" i="6"/>
  <c r="AO7" i="6"/>
  <c r="AO6" i="6"/>
  <c r="AO10" i="6"/>
  <c r="L5" i="20" l="1"/>
  <c r="E5" i="20" l="1"/>
  <c r="D5" i="20"/>
  <c r="C5" i="20"/>
  <c r="Q5" i="20"/>
  <c r="N5" i="20"/>
  <c r="G5" i="20"/>
  <c r="M5" i="20"/>
  <c r="B5" i="20"/>
  <c r="R5" i="20"/>
  <c r="O5" i="20"/>
  <c r="U5" i="20"/>
  <c r="F5" i="20"/>
  <c r="AA5" i="20" s="1"/>
  <c r="AH5" i="20"/>
  <c r="AG5" i="20"/>
  <c r="P5" i="20"/>
  <c r="S5" i="20"/>
  <c r="V5" i="20" l="1"/>
  <c r="W5" i="20" s="1"/>
  <c r="AK5" i="20" s="1"/>
  <c r="X5" i="20" l="1"/>
  <c r="AD5" i="20" s="1"/>
  <c r="Y5" i="20" l="1"/>
  <c r="Z5" i="20" s="1"/>
  <c r="AB5" i="20" l="1"/>
  <c r="AE5" i="20" s="1"/>
  <c r="AC5" i="20" l="1"/>
  <c r="AF5" i="20"/>
  <c r="AI5" i="20"/>
  <c r="AN5" i="20" s="1"/>
  <c r="AO5" i="20" l="1"/>
  <c r="E2" i="20"/>
  <c r="AJ5" i="20"/>
  <c r="F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吉本卓矢</author>
    <author>s.nishio</author>
  </authors>
  <commentList>
    <comment ref="A1" authorId="0" shapeId="0" xr:uid="{4A56A9A8-C1B6-4BA8-A36F-86AC522A6C98}">
      <text>
        <r>
          <rPr>
            <sz val="9"/>
            <color indexed="81"/>
            <rFont val="MS P ゴシック"/>
            <family val="3"/>
            <charset val="128"/>
          </rPr>
          <t xml:space="preserve">商品管理番号を入力
新商品の場合は入力しないでも問題なし
</t>
        </r>
      </text>
    </comment>
    <comment ref="B1" authorId="0" shapeId="0" xr:uid="{C1694310-A455-4462-8508-CE369D1EE741}">
      <text>
        <r>
          <rPr>
            <sz val="9"/>
            <color indexed="81"/>
            <rFont val="MS P ゴシック"/>
            <family val="3"/>
            <charset val="128"/>
          </rPr>
          <t xml:space="preserve">商品名を入力
</t>
        </r>
      </text>
    </comment>
    <comment ref="C1" authorId="0" shapeId="0" xr:uid="{199E3B45-62D2-46C3-B1BA-5D36492B8742}">
      <text>
        <r>
          <rPr>
            <sz val="9"/>
            <color indexed="81"/>
            <rFont val="MS P ゴシック"/>
            <family val="3"/>
            <charset val="128"/>
          </rPr>
          <t>販売価格を入力
※利益計算上の売価はこちらを元に計算します</t>
        </r>
      </text>
    </comment>
    <comment ref="D1" authorId="0" shapeId="0" xr:uid="{392B9D7C-8367-46E4-A834-E8B94F56BBE9}">
      <text>
        <r>
          <rPr>
            <sz val="9"/>
            <color indexed="81"/>
            <rFont val="MS P ゴシック"/>
            <family val="3"/>
            <charset val="128"/>
          </rPr>
          <t xml:space="preserve">表示価格になります。本ツールでは「値引き率」の計算にのみ使用します
</t>
        </r>
      </text>
    </comment>
    <comment ref="E1" authorId="0" shapeId="0" xr:uid="{16FCC3DB-4963-46CE-A571-4C79D8E78824}">
      <text>
        <r>
          <rPr>
            <sz val="9"/>
            <color indexed="81"/>
            <rFont val="MS P ゴシック"/>
            <family val="3"/>
            <charset val="128"/>
          </rPr>
          <t xml:space="preserve">販売価格の消費税を込にするか・別にするかの設定になります。
１：込
０：別
</t>
        </r>
      </text>
    </comment>
    <comment ref="F1" authorId="0" shapeId="0" xr:uid="{1B434A8E-9FF7-4107-9E2F-174733445203}">
      <text>
        <r>
          <rPr>
            <sz val="9"/>
            <color indexed="81"/>
            <rFont val="MS P ゴシック"/>
            <family val="3"/>
            <charset val="128"/>
          </rPr>
          <t>送料を込にするか・別にするかの設定になります。
１：込
０：別
※別にした場合送料は0円で計算されます</t>
        </r>
      </text>
    </comment>
    <comment ref="G1" authorId="0" shapeId="0" xr:uid="{0C04DBBE-D0FE-4962-A426-2468D53F6D0E}">
      <text>
        <r>
          <rPr>
            <sz val="9"/>
            <color indexed="81"/>
            <rFont val="MS P ゴシック"/>
            <family val="3"/>
            <charset val="128"/>
          </rPr>
          <t xml:space="preserve">ポイント変倍率を指定します
※ポイント変倍は２以上を指定した場合に、「ポイント増額分」欄にポイント金額が反映されます
</t>
        </r>
      </text>
    </comment>
    <comment ref="H1" authorId="0" shapeId="0" xr:uid="{0DD7EBE7-2808-4405-984A-C4F111FA0577}">
      <text>
        <r>
          <rPr>
            <sz val="9"/>
            <color indexed="81"/>
            <rFont val="MS P ゴシック"/>
            <family val="3"/>
            <charset val="128"/>
          </rPr>
          <t xml:space="preserve">クーポン値引をパーセンテージで行う場合に値引率を入力します
</t>
        </r>
      </text>
    </comment>
    <comment ref="I1" authorId="0" shapeId="0" xr:uid="{909B5FDF-160B-40A4-AA2F-5D8A09FCF230}">
      <text>
        <r>
          <rPr>
            <sz val="9"/>
            <color indexed="81"/>
            <rFont val="MS P ゴシック"/>
            <family val="3"/>
            <charset val="128"/>
          </rPr>
          <t>クーポン値引を金額で行う場合に値引額を入力します</t>
        </r>
        <r>
          <rPr>
            <b/>
            <sz val="9"/>
            <color indexed="81"/>
            <rFont val="MS P ゴシック"/>
            <family val="3"/>
            <charset val="128"/>
          </rPr>
          <t xml:space="preserve">
</t>
        </r>
      </text>
    </comment>
    <comment ref="J1" authorId="0" shapeId="0" xr:uid="{2E1AE2AB-08FA-45A9-8FE9-638288C556B2}">
      <text>
        <r>
          <rPr>
            <sz val="9"/>
            <color indexed="81"/>
            <rFont val="MS P ゴシック"/>
            <family val="3"/>
            <charset val="128"/>
          </rPr>
          <t xml:space="preserve">配送方法をプルダウンから選択します
※必ず配送方法を選択してから配送サイズを選択してください
</t>
        </r>
      </text>
    </comment>
    <comment ref="K1" authorId="0" shapeId="0" xr:uid="{02329FF4-CAF2-4D3E-AC91-683546D17BB9}">
      <text>
        <r>
          <rPr>
            <sz val="9"/>
            <color indexed="81"/>
            <rFont val="MS P ゴシック"/>
            <family val="3"/>
            <charset val="128"/>
          </rPr>
          <t>配送サイズをプルダウンから選択します
※必ず配送方法を選択してから配送サイズを選択してください</t>
        </r>
      </text>
    </comment>
    <comment ref="L1" authorId="0" shapeId="0" xr:uid="{E77BE4EF-6E66-48B0-B2C4-B948079D2F81}">
      <text>
        <r>
          <rPr>
            <sz val="9"/>
            <color indexed="81"/>
            <rFont val="MS P ゴシック"/>
            <family val="3"/>
            <charset val="128"/>
          </rPr>
          <t xml:space="preserve">商品ごとに追加で発生する費用がある場合に単価を入力してください
例：RSLオプション費用
</t>
        </r>
      </text>
    </comment>
    <comment ref="M1" authorId="0" shapeId="0" xr:uid="{7E32D1B7-C7BF-4BEF-B964-6CF0C6398E17}">
      <text>
        <r>
          <rPr>
            <sz val="9"/>
            <color indexed="81"/>
            <rFont val="MS P ゴシック"/>
            <family val="3"/>
            <charset val="128"/>
          </rPr>
          <t>倉庫利用料（RSL含む）を試算に加味する場合、プルダウンにて選択してください
有：倉庫料を試算に加える
無：倉庫料を試算に加えない</t>
        </r>
      </text>
    </comment>
    <comment ref="N1" authorId="0" shapeId="0" xr:uid="{585DD267-E864-434A-BA16-D2364225F898}">
      <text>
        <r>
          <rPr>
            <sz val="9"/>
            <color indexed="81"/>
            <rFont val="MS P ゴシック"/>
            <family val="3"/>
            <charset val="128"/>
          </rPr>
          <t>※RSL倉庫保管料を計算する場合にのみ利用
　商品体積を入力してください</t>
        </r>
      </text>
    </comment>
    <comment ref="O1" authorId="0" shapeId="0" xr:uid="{045A8E53-CDA4-4E8E-9502-C163A8A5F73B}">
      <text>
        <r>
          <rPr>
            <sz val="9"/>
            <color indexed="81"/>
            <rFont val="MS P ゴシック"/>
            <family val="3"/>
            <charset val="128"/>
          </rPr>
          <t>※RSL倉庫保管料を計算する場合にのみ利用
平均在庫日数を入力してください</t>
        </r>
      </text>
    </comment>
    <comment ref="P1" authorId="0" shapeId="0" xr:uid="{E96CE5FF-A09D-4AE3-9DFE-A08A6B1ABAF5}">
      <text>
        <r>
          <rPr>
            <sz val="9"/>
            <color indexed="81"/>
            <rFont val="MS P ゴシック"/>
            <family val="3"/>
            <charset val="128"/>
          </rPr>
          <t>商品卸値（仕入価格）を入力してください</t>
        </r>
      </text>
    </comment>
    <comment ref="AL1" authorId="1" shapeId="0" xr:uid="{BA886115-B607-4708-80F8-8C2279883499}">
      <text>
        <r>
          <rPr>
            <b/>
            <sz val="9"/>
            <color indexed="81"/>
            <rFont val="MS P ゴシック"/>
            <family val="3"/>
            <charset val="128"/>
          </rPr>
          <t xml:space="preserve">注文獲得単価(合計720時間)を取得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s.nishio</author>
    <author>吉本卓矢</author>
  </authors>
  <commentList>
    <comment ref="B1" authorId="0" shapeId="0" xr:uid="{4489BEAD-0AD9-4FA2-9A08-F9D1EEFE93B5}">
      <text>
        <r>
          <rPr>
            <b/>
            <sz val="9"/>
            <color indexed="81"/>
            <rFont val="MS P ゴシック"/>
            <family val="3"/>
            <charset val="128"/>
          </rPr>
          <t>まとめ買い条件の個数を入力</t>
        </r>
      </text>
    </comment>
    <comment ref="C1" authorId="0" shapeId="0" xr:uid="{7AB6309A-F9C7-4B01-A5E5-C916CD93C00E}">
      <text>
        <r>
          <rPr>
            <b/>
            <sz val="9"/>
            <color indexed="81"/>
            <rFont val="MS P ゴシック"/>
            <family val="3"/>
            <charset val="128"/>
          </rPr>
          <t>まとめ買いした際の割引率を入力</t>
        </r>
      </text>
    </comment>
    <comment ref="D1" authorId="0" shapeId="0" xr:uid="{42DB29E7-AA4B-49BF-B060-4B0750A98EA0}">
      <text>
        <r>
          <rPr>
            <b/>
            <sz val="9"/>
            <color indexed="81"/>
            <rFont val="MS P ゴシック"/>
            <family val="3"/>
            <charset val="128"/>
          </rPr>
          <t>まとめ買いした際のわり引き額を入力</t>
        </r>
      </text>
    </comment>
    <comment ref="A4" authorId="1" shapeId="0" xr:uid="{CB0FCB0B-A5F3-4FB8-B286-9CC7033829FA}">
      <text>
        <r>
          <rPr>
            <sz val="9"/>
            <color indexed="81"/>
            <rFont val="MS P ゴシック"/>
            <family val="3"/>
            <charset val="128"/>
          </rPr>
          <t xml:space="preserve">ここに計算した商品の商品管理番号を入力
</t>
        </r>
      </text>
    </comment>
    <comment ref="B4" authorId="1" shapeId="0" xr:uid="{7513E012-012F-4537-BF88-8BA650EA74A8}">
      <text>
        <r>
          <rPr>
            <sz val="9"/>
            <color indexed="81"/>
            <rFont val="MS P ゴシック"/>
            <family val="3"/>
            <charset val="128"/>
          </rPr>
          <t xml:space="preserve">商品名を入力
</t>
        </r>
      </text>
    </comment>
    <comment ref="C4" authorId="1" shapeId="0" xr:uid="{34DC85BD-8A23-4AC9-A832-955752CFBADA}">
      <text>
        <r>
          <rPr>
            <sz val="9"/>
            <color indexed="81"/>
            <rFont val="MS P ゴシック"/>
            <family val="3"/>
            <charset val="128"/>
          </rPr>
          <t>販売価格を入力
※利益計算上の売価はこちらを元に計算します</t>
        </r>
      </text>
    </comment>
    <comment ref="D4" authorId="1" shapeId="0" xr:uid="{AAA619DC-A777-496C-99ED-8D778B6B4084}">
      <text>
        <r>
          <rPr>
            <sz val="9"/>
            <color indexed="81"/>
            <rFont val="MS P ゴシック"/>
            <family val="3"/>
            <charset val="128"/>
          </rPr>
          <t xml:space="preserve">表示価格になります。本ツールでは「値引き率」の計算にのみ使用します
</t>
        </r>
      </text>
    </comment>
    <comment ref="E4" authorId="1" shapeId="0" xr:uid="{BD01CBD2-1AFF-4FE4-84AF-A84526BF1AFD}">
      <text>
        <r>
          <rPr>
            <sz val="9"/>
            <color indexed="81"/>
            <rFont val="MS P ゴシック"/>
            <family val="3"/>
            <charset val="128"/>
          </rPr>
          <t xml:space="preserve">販売価格の消費税を込にするか・別にするかの設定になります。
１：込
０：別
</t>
        </r>
      </text>
    </comment>
    <comment ref="F4" authorId="1" shapeId="0" xr:uid="{0DF44658-5F1A-4238-99A3-A1E8D824997A}">
      <text>
        <r>
          <rPr>
            <sz val="9"/>
            <color indexed="81"/>
            <rFont val="MS P ゴシック"/>
            <family val="3"/>
            <charset val="128"/>
          </rPr>
          <t>送料を込にするか・別にするかの設定になります。
１：込
０：別
※別にした場合送料は0円で計算されます</t>
        </r>
      </text>
    </comment>
    <comment ref="G4" authorId="1" shapeId="0" xr:uid="{92EA56E5-686D-4C20-A138-F4FC75587CA9}">
      <text>
        <r>
          <rPr>
            <sz val="9"/>
            <color indexed="81"/>
            <rFont val="MS P ゴシック"/>
            <family val="3"/>
            <charset val="128"/>
          </rPr>
          <t xml:space="preserve">ポイント変倍率を指定します
※ポイント変倍は２以上を指定した場合に、「ポイント増額分」欄にポイント金額が反映されます
</t>
        </r>
      </text>
    </comment>
    <comment ref="H4" authorId="1" shapeId="0" xr:uid="{BA53573D-AD48-4902-941B-16FA9A7A6187}">
      <text>
        <r>
          <rPr>
            <sz val="9"/>
            <color indexed="81"/>
            <rFont val="MS P ゴシック"/>
            <family val="3"/>
            <charset val="128"/>
          </rPr>
          <t xml:space="preserve">クーポン値引をパーセンテージで行う場合に値引率を入力します
</t>
        </r>
      </text>
    </comment>
    <comment ref="I4" authorId="1" shapeId="0" xr:uid="{75B964CA-2076-4591-B53C-E25FAB8C72D3}">
      <text>
        <r>
          <rPr>
            <sz val="9"/>
            <color indexed="81"/>
            <rFont val="MS P ゴシック"/>
            <family val="3"/>
            <charset val="128"/>
          </rPr>
          <t>クーポン値引を金額で行う場合に値引額を入力します</t>
        </r>
        <r>
          <rPr>
            <b/>
            <sz val="9"/>
            <color indexed="81"/>
            <rFont val="MS P ゴシック"/>
            <family val="3"/>
            <charset val="128"/>
          </rPr>
          <t xml:space="preserve">
</t>
        </r>
      </text>
    </comment>
    <comment ref="J4" authorId="1" shapeId="0" xr:uid="{1E9B9F56-47B0-4E70-8110-4BC121AAFAE9}">
      <text>
        <r>
          <rPr>
            <sz val="9"/>
            <color indexed="81"/>
            <rFont val="MS P ゴシック"/>
            <family val="3"/>
            <charset val="128"/>
          </rPr>
          <t xml:space="preserve">配送方法をプルダウンから選択します
※必ず配送方法を選択してから配送サイズを選択してください
</t>
        </r>
      </text>
    </comment>
    <comment ref="K4" authorId="1" shapeId="0" xr:uid="{158D8FE4-FC81-4073-BD70-4E3795B26700}">
      <text>
        <r>
          <rPr>
            <sz val="9"/>
            <color indexed="81"/>
            <rFont val="MS P ゴシック"/>
            <family val="3"/>
            <charset val="128"/>
          </rPr>
          <t>配送サイズをプルダウンから選択します
※必ず配送方法を選択してから配送サイズを選択してください</t>
        </r>
      </text>
    </comment>
    <comment ref="L4" authorId="1" shapeId="0" xr:uid="{FB91F6C3-36A3-4BFC-A6DA-A180792B9675}">
      <text>
        <r>
          <rPr>
            <sz val="9"/>
            <color indexed="81"/>
            <rFont val="MS P ゴシック"/>
            <family val="3"/>
            <charset val="128"/>
          </rPr>
          <t xml:space="preserve">商品ごとに追加で発生する費用がある場合に単価を入力してください
例：RSLオプション費用
</t>
        </r>
      </text>
    </comment>
    <comment ref="M4" authorId="1" shapeId="0" xr:uid="{AF31B61D-7BB4-4125-9DFF-204659666C09}">
      <text>
        <r>
          <rPr>
            <sz val="9"/>
            <color indexed="81"/>
            <rFont val="MS P ゴシック"/>
            <family val="3"/>
            <charset val="128"/>
          </rPr>
          <t>倉庫利用料（RSL含む）を試算に加味する場合、プルダウンにて選択してください
有：倉庫料を試算に加える
無：倉庫料を試算に加えない</t>
        </r>
      </text>
    </comment>
    <comment ref="N4" authorId="1" shapeId="0" xr:uid="{B32D12E7-39AD-44C2-A6E3-1F75181FD4A5}">
      <text>
        <r>
          <rPr>
            <sz val="9"/>
            <color indexed="81"/>
            <rFont val="MS P ゴシック"/>
            <family val="3"/>
            <charset val="128"/>
          </rPr>
          <t>※RSL倉庫保管料を計算する場合にのみ利用
　商品体積を入力してください</t>
        </r>
      </text>
    </comment>
    <comment ref="O4" authorId="1" shapeId="0" xr:uid="{276D9F68-9594-4748-84A3-FD5309ECF8ED}">
      <text>
        <r>
          <rPr>
            <sz val="9"/>
            <color indexed="81"/>
            <rFont val="MS P ゴシック"/>
            <family val="3"/>
            <charset val="128"/>
          </rPr>
          <t>※RSL倉庫保管料を計算する場合にのみ利用
平均在庫日数を入力してください</t>
        </r>
      </text>
    </comment>
    <comment ref="P4" authorId="1" shapeId="0" xr:uid="{6CC6CD88-EF93-4C42-A104-43AFB9DFBEE4}">
      <text>
        <r>
          <rPr>
            <sz val="9"/>
            <color indexed="81"/>
            <rFont val="MS P ゴシック"/>
            <family val="3"/>
            <charset val="128"/>
          </rPr>
          <t>商品卸値（仕入価格）を入力してください</t>
        </r>
      </text>
    </comment>
    <comment ref="AL4" authorId="0" shapeId="0" xr:uid="{E0080E6C-8B11-47C6-B1FE-F8F16742E54A}">
      <text>
        <r>
          <rPr>
            <b/>
            <sz val="9"/>
            <color indexed="81"/>
            <rFont val="MS P ゴシック"/>
            <family val="3"/>
            <charset val="128"/>
          </rPr>
          <t xml:space="preserve">注文獲得単価(合計720時間)を取得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吉本卓矢</author>
  </authors>
  <commentList>
    <comment ref="B2" authorId="0" shapeId="0" xr:uid="{178F21B8-67EA-4D28-8062-55E5A4E827BC}">
      <text>
        <r>
          <rPr>
            <sz val="9"/>
            <color indexed="81"/>
            <rFont val="MS P ゴシック"/>
            <family val="3"/>
            <charset val="128"/>
          </rPr>
          <t>自店のプランを選択してください。
※楽天手数料計算に利用</t>
        </r>
      </text>
    </comment>
    <comment ref="B3" authorId="0" shapeId="0" xr:uid="{052F8AAD-0E04-45D1-B5CF-56CD1D67ABCC}">
      <text>
        <r>
          <rPr>
            <sz val="9"/>
            <color indexed="81"/>
            <rFont val="MS P ゴシック"/>
            <family val="3"/>
            <charset val="128"/>
          </rPr>
          <t>月間売上を入力してください
※楽天手数料計算に利用</t>
        </r>
      </text>
    </comment>
    <comment ref="B4" authorId="0" shapeId="0" xr:uid="{265BA666-3EC2-4E65-98B9-43109A06552D}">
      <text>
        <r>
          <rPr>
            <sz val="9"/>
            <color indexed="81"/>
            <rFont val="MS P ゴシック"/>
            <family val="3"/>
            <charset val="128"/>
          </rPr>
          <t>平均客単価を入力してください
※楽天手数料計算に利用</t>
        </r>
      </text>
    </comment>
    <comment ref="B5" authorId="0" shapeId="0" xr:uid="{DDBCB174-A609-4391-9D04-7A3255CD8EA0}">
      <text>
        <r>
          <rPr>
            <sz val="9"/>
            <color indexed="81"/>
            <rFont val="MS P ゴシック"/>
            <family val="3"/>
            <charset val="128"/>
          </rPr>
          <t>楽天市場の年間売上を入力してください
※楽天手数料計算に利用</t>
        </r>
      </text>
    </comment>
    <comment ref="B6" authorId="0" shapeId="0" xr:uid="{BFDC7FEC-938D-4DF5-AF4F-D1C19AE45CF7}">
      <text>
        <r>
          <rPr>
            <sz val="9"/>
            <color indexed="81"/>
            <rFont val="MS P ゴシック"/>
            <family val="3"/>
            <charset val="128"/>
          </rPr>
          <t xml:space="preserve">月間売上を記載した月の月間アフィリエイト利用料を入力してください
※楽天手数料計算に利用
</t>
        </r>
      </text>
    </comment>
    <comment ref="B7" authorId="0" shapeId="0" xr:uid="{E0685916-A307-473E-A1EB-524CDBA5AA09}">
      <text>
        <r>
          <rPr>
            <sz val="9"/>
            <color indexed="81"/>
            <rFont val="MS P ゴシック"/>
            <family val="3"/>
            <charset val="128"/>
          </rPr>
          <t>自店舗の全購入に占めるPC経由での購入率を入力してください。
※楽天手数料計算に利用</t>
        </r>
      </text>
    </comment>
    <comment ref="B8" authorId="0" shapeId="0" xr:uid="{8863848F-A496-44BA-A4A5-34A6CB1DC60D}">
      <text>
        <r>
          <rPr>
            <sz val="9"/>
            <color indexed="81"/>
            <rFont val="MS P ゴシック"/>
            <family val="3"/>
            <charset val="128"/>
          </rPr>
          <t>自店舗の全購入に占めるモバイル経由での購入率を入力してください。
※楽天手数料計算に利用</t>
        </r>
      </text>
    </comment>
    <comment ref="B9" authorId="0" shapeId="0" xr:uid="{9B860623-E1DD-4441-928E-C0A27640F03D}">
      <text>
        <r>
          <rPr>
            <sz val="9"/>
            <color indexed="81"/>
            <rFont val="MS P ゴシック"/>
            <family val="3"/>
            <charset val="128"/>
          </rPr>
          <t>その他に個別に加味・追加したい月間手数料があれば金額を追加してください
例：受発注システム利用料
※その他手数料計算に利用します</t>
        </r>
      </text>
    </comment>
    <comment ref="B10" authorId="0" shapeId="0" xr:uid="{F1D182E0-79C3-4C4A-8097-8482CAA330C4}">
      <text>
        <r>
          <rPr>
            <sz val="9"/>
            <color indexed="81"/>
            <rFont val="MS P ゴシック"/>
            <family val="3"/>
            <charset val="128"/>
          </rPr>
          <t>RSL等の外部倉庫を利用している場合に、月間の倉庫料を入力します。
※試算表の倉庫保管料の計算に利用します。
※RSLの場合のみ試算表に体積と平均在庫日数を入力すると商品別に個別試算が可能となります。そちらに数値が入力してある場合はそちらが優先されます。</t>
        </r>
      </text>
    </comment>
    <comment ref="B11" authorId="0" shapeId="0" xr:uid="{5A05370B-2F85-4751-B3D3-0962CF492E33}">
      <text>
        <r>
          <rPr>
            <sz val="9"/>
            <color indexed="81"/>
            <rFont val="MS P ゴシック"/>
            <family val="3"/>
            <charset val="128"/>
          </rPr>
          <t>試算表の倉庫保管料の計算に使用</t>
        </r>
      </text>
    </comment>
    <comment ref="B15" authorId="0" shapeId="0" xr:uid="{427BE74B-5C73-4603-B0AD-BCB9A7934D7D}">
      <text>
        <r>
          <rPr>
            <sz val="9"/>
            <color indexed="81"/>
            <rFont val="MS P ゴシック"/>
            <family val="3"/>
            <charset val="128"/>
          </rPr>
          <t xml:space="preserve">PC購入率とモバイル購入率で加重平均
</t>
        </r>
      </text>
    </comment>
    <comment ref="B18" authorId="0" shapeId="0" xr:uid="{6F1751D6-33F7-40F4-AFE6-9366130B937B}">
      <text>
        <r>
          <rPr>
            <sz val="9"/>
            <color indexed="81"/>
            <rFont val="MS P ゴシック"/>
            <family val="3"/>
            <charset val="128"/>
          </rPr>
          <t>⇒月間アフィリエイト料金／月間売上にて概算</t>
        </r>
      </text>
    </comment>
    <comment ref="B19" authorId="0" shapeId="0" xr:uid="{A8F4EA2A-3A18-4770-AB37-2D21F984A883}">
      <text>
        <r>
          <rPr>
            <sz val="9"/>
            <color indexed="81"/>
            <rFont val="MS P ゴシック"/>
            <family val="3"/>
            <charset val="128"/>
          </rPr>
          <t xml:space="preserve">PC購入率とモバイル購入率で加重平均
</t>
        </r>
      </text>
    </comment>
    <comment ref="B20" authorId="0" shapeId="0" xr:uid="{ABA584B9-6EB0-439E-A636-3EA8577A0A07}">
      <text>
        <r>
          <rPr>
            <sz val="9"/>
            <color indexed="81"/>
            <rFont val="MS P ゴシック"/>
            <family val="3"/>
            <charset val="128"/>
          </rPr>
          <t xml:space="preserve">⇒年間出店料／想定年間売上
</t>
        </r>
      </text>
    </comment>
    <comment ref="B22" authorId="0" shapeId="0" xr:uid="{7E272FF7-B4D1-434F-99F5-A12D671B30A1}">
      <text>
        <r>
          <rPr>
            <sz val="9"/>
            <color indexed="81"/>
            <rFont val="MS P ゴシック"/>
            <family val="3"/>
            <charset val="128"/>
          </rPr>
          <t>その他システム利用料から試算</t>
        </r>
      </text>
    </comment>
    <comment ref="B23" authorId="0" shapeId="0" xr:uid="{89B75C23-3706-4C64-967D-3B17AD55F68F}">
      <text>
        <r>
          <rPr>
            <sz val="9"/>
            <color indexed="81"/>
            <rFont val="MS P ゴシック"/>
            <family val="3"/>
            <charset val="128"/>
          </rPr>
          <t xml:space="preserve">試算表の手数料の計算に使用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吉本卓矢</author>
  </authors>
  <commentList>
    <comment ref="C3" authorId="0" shapeId="0" xr:uid="{A359F109-298E-4AFB-A427-B3A43B1D6A23}">
      <text>
        <r>
          <rPr>
            <sz val="9"/>
            <color indexed="81"/>
            <rFont val="MS P ゴシック"/>
            <family val="3"/>
            <charset val="128"/>
          </rPr>
          <t>自店舗の出荷先別の割合を入力
※地域別送料の加重平均をとるために使用</t>
        </r>
      </text>
    </comment>
    <comment ref="B5" authorId="0" shapeId="0" xr:uid="{2FA17455-D094-4E00-A524-A8EFBFE744F9}">
      <text>
        <r>
          <rPr>
            <sz val="9"/>
            <color indexed="81"/>
            <rFont val="MS P ゴシック"/>
            <family val="3"/>
            <charset val="128"/>
          </rPr>
          <t>宅配便の地域別・サイズ別料金を入力
該当サイズがない箇所は未入力でOK</t>
        </r>
      </text>
    </comment>
    <comment ref="R6" authorId="0" shapeId="0" xr:uid="{26FD5E35-81F7-485D-9468-D47905CA1614}">
      <text>
        <r>
          <rPr>
            <sz val="9"/>
            <color indexed="81"/>
            <rFont val="MS P ゴシック"/>
            <family val="3"/>
            <charset val="128"/>
          </rPr>
          <t>サイズ別に段ボールなどの資材を試算に加えたい場合に単価を入力</t>
        </r>
      </text>
    </comment>
  </commentList>
</comments>
</file>

<file path=xl/sharedStrings.xml><?xml version="1.0" encoding="utf-8"?>
<sst xmlns="http://schemas.openxmlformats.org/spreadsheetml/2006/main" count="429" uniqueCount="210">
  <si>
    <t>楽天プラン</t>
    <rPh sb="0" eb="2">
      <t>ラクテン</t>
    </rPh>
    <phoneticPr fontId="1"/>
  </si>
  <si>
    <t>月間売上</t>
    <rPh sb="0" eb="2">
      <t>ゲッカン</t>
    </rPh>
    <rPh sb="2" eb="4">
      <t>ウリアゲ</t>
    </rPh>
    <phoneticPr fontId="1"/>
  </si>
  <si>
    <t>想定年間売上</t>
    <rPh sb="0" eb="2">
      <t>ソウテイ</t>
    </rPh>
    <rPh sb="2" eb="4">
      <t>ネンカン</t>
    </rPh>
    <rPh sb="4" eb="6">
      <t>ウリアゲ</t>
    </rPh>
    <phoneticPr fontId="1"/>
  </si>
  <si>
    <t>客単価</t>
    <rPh sb="0" eb="3">
      <t>キャクタンカ</t>
    </rPh>
    <phoneticPr fontId="1"/>
  </si>
  <si>
    <t>店舗情報</t>
    <rPh sb="0" eb="4">
      <t>テンポジョウホウ</t>
    </rPh>
    <phoneticPr fontId="1"/>
  </si>
  <si>
    <t>クーポン
値引率</t>
    <rPh sb="5" eb="7">
      <t>ネビ</t>
    </rPh>
    <rPh sb="7" eb="8">
      <t>リツ</t>
    </rPh>
    <phoneticPr fontId="1"/>
  </si>
  <si>
    <t>送料</t>
    <rPh sb="0" eb="2">
      <t>ソウリョウ</t>
    </rPh>
    <phoneticPr fontId="1"/>
  </si>
  <si>
    <t>資材費</t>
    <rPh sb="0" eb="3">
      <t>シザイヒ</t>
    </rPh>
    <phoneticPr fontId="1"/>
  </si>
  <si>
    <t>商品名</t>
  </si>
  <si>
    <t>消費税</t>
  </si>
  <si>
    <t>送料</t>
  </si>
  <si>
    <t>掛け率</t>
    <rPh sb="0" eb="1">
      <t>カ</t>
    </rPh>
    <rPh sb="2" eb="3">
      <t>リツ</t>
    </rPh>
    <phoneticPr fontId="1"/>
  </si>
  <si>
    <t>値引き率</t>
    <rPh sb="0" eb="2">
      <t>ネビ</t>
    </rPh>
    <rPh sb="3" eb="4">
      <t>リツ</t>
    </rPh>
    <phoneticPr fontId="1"/>
  </si>
  <si>
    <t>粗利</t>
    <rPh sb="0" eb="2">
      <t>アラリ</t>
    </rPh>
    <phoneticPr fontId="1"/>
  </si>
  <si>
    <t>粗利率</t>
    <rPh sb="0" eb="3">
      <t>アラリリツ</t>
    </rPh>
    <phoneticPr fontId="1"/>
  </si>
  <si>
    <t>手数料</t>
    <rPh sb="0" eb="3">
      <t>テスウリョウ</t>
    </rPh>
    <phoneticPr fontId="1"/>
  </si>
  <si>
    <t>出店料</t>
    <rPh sb="0" eb="3">
      <t>シュッテンリョウ</t>
    </rPh>
    <phoneticPr fontId="1"/>
  </si>
  <si>
    <t>メガショッププラン</t>
  </si>
  <si>
    <t>スタンダードプラン</t>
    <phoneticPr fontId="1"/>
  </si>
  <si>
    <t>プレミアムライトプラン</t>
    <phoneticPr fontId="1"/>
  </si>
  <si>
    <t>ライトプラン</t>
    <phoneticPr fontId="1"/>
  </si>
  <si>
    <t>月額</t>
    <rPh sb="0" eb="2">
      <t>ゲツガク</t>
    </rPh>
    <phoneticPr fontId="1"/>
  </si>
  <si>
    <t>年間</t>
    <rPh sb="0" eb="2">
      <t>ネンカン</t>
    </rPh>
    <phoneticPr fontId="1"/>
  </si>
  <si>
    <t>モバイル購入率</t>
    <rPh sb="4" eb="7">
      <t>コウニュウリツ</t>
    </rPh>
    <phoneticPr fontId="1"/>
  </si>
  <si>
    <t>PC購入率</t>
    <rPh sb="2" eb="4">
      <t>コウニュウ</t>
    </rPh>
    <rPh sb="4" eb="5">
      <t>リツ</t>
    </rPh>
    <phoneticPr fontId="1"/>
  </si>
  <si>
    <t>月間販売額</t>
  </si>
  <si>
    <t>～</t>
    <phoneticPr fontId="1"/>
  </si>
  <si>
    <t>　  平均ﾊﾞｽｹｯﾄ単価</t>
    <phoneticPr fontId="1"/>
  </si>
  <si>
    <t>【出店料】</t>
    <rPh sb="1" eb="4">
      <t>シュッテンリョウ</t>
    </rPh>
    <phoneticPr fontId="1"/>
  </si>
  <si>
    <t>PC</t>
    <phoneticPr fontId="1"/>
  </si>
  <si>
    <t>モバイル</t>
    <phoneticPr fontId="1"/>
  </si>
  <si>
    <t>がんばれプラン</t>
    <phoneticPr fontId="1"/>
  </si>
  <si>
    <t>【PCシステム利用料】</t>
    <phoneticPr fontId="1"/>
  </si>
  <si>
    <t>【モバイルシステム利用料】</t>
    <phoneticPr fontId="1"/>
  </si>
  <si>
    <t>平均システム手数料率</t>
    <rPh sb="0" eb="2">
      <t>ヘイキン</t>
    </rPh>
    <rPh sb="6" eb="9">
      <t>テスウリョウ</t>
    </rPh>
    <rPh sb="9" eb="10">
      <t>リツ</t>
    </rPh>
    <phoneticPr fontId="1"/>
  </si>
  <si>
    <t>概算アフィリエイト利用料率</t>
    <rPh sb="0" eb="2">
      <t>ガイサン</t>
    </rPh>
    <rPh sb="9" eb="13">
      <t>リヨウリョウリツ</t>
    </rPh>
    <phoneticPr fontId="1"/>
  </si>
  <si>
    <t>月間アフィリエイト利用料</t>
    <rPh sb="0" eb="2">
      <t>ゲッカン</t>
    </rPh>
    <rPh sb="9" eb="12">
      <t>リヨウリョウ</t>
    </rPh>
    <phoneticPr fontId="1"/>
  </si>
  <si>
    <t>【楽天ペイ利用料】</t>
    <rPh sb="1" eb="3">
      <t>ラクテン</t>
    </rPh>
    <rPh sb="5" eb="8">
      <t>リヨウリョウ</t>
    </rPh>
    <phoneticPr fontId="1"/>
  </si>
  <si>
    <t>年間出店料負担率</t>
    <rPh sb="0" eb="2">
      <t>ネンカン</t>
    </rPh>
    <rPh sb="2" eb="5">
      <t>シュッテンリョウ</t>
    </rPh>
    <rPh sb="5" eb="8">
      <t>フタンリツ</t>
    </rPh>
    <phoneticPr fontId="1"/>
  </si>
  <si>
    <t>楽天手数料シミュレーション</t>
    <rPh sb="0" eb="2">
      <t>ラクテン</t>
    </rPh>
    <rPh sb="2" eb="5">
      <t>テスウリョウ</t>
    </rPh>
    <phoneticPr fontId="1"/>
  </si>
  <si>
    <t>項目名</t>
    <rPh sb="0" eb="2">
      <t>コウモク</t>
    </rPh>
    <rPh sb="2" eb="3">
      <t>メイ</t>
    </rPh>
    <phoneticPr fontId="1"/>
  </si>
  <si>
    <t>料率</t>
    <rPh sb="0" eb="2">
      <t>リョウリツ</t>
    </rPh>
    <phoneticPr fontId="1"/>
  </si>
  <si>
    <t>楽天ペイ利用料率</t>
    <rPh sb="0" eb="2">
      <t>ラクテン</t>
    </rPh>
    <rPh sb="4" eb="7">
      <t>リヨウリョウ</t>
    </rPh>
    <rPh sb="7" eb="8">
      <t>リツ</t>
    </rPh>
    <phoneticPr fontId="1"/>
  </si>
  <si>
    <t>共通楽天ポイント付与料率</t>
    <rPh sb="0" eb="2">
      <t>キョウツウ</t>
    </rPh>
    <rPh sb="11" eb="12">
      <t>リツ</t>
    </rPh>
    <phoneticPr fontId="1"/>
  </si>
  <si>
    <t>安全性・利便性向上のための
システム利用料率</t>
    <rPh sb="21" eb="22">
      <t>リツ</t>
    </rPh>
    <phoneticPr fontId="1"/>
  </si>
  <si>
    <t>楽天手数料率合計</t>
    <rPh sb="0" eb="2">
      <t>ラクテン</t>
    </rPh>
    <rPh sb="2" eb="5">
      <t>テスウリョウ</t>
    </rPh>
    <rPh sb="5" eb="6">
      <t>リツ</t>
    </rPh>
    <rPh sb="6" eb="8">
      <t>ゴウケイ</t>
    </rPh>
    <phoneticPr fontId="1"/>
  </si>
  <si>
    <t>配送方法</t>
    <rPh sb="0" eb="4">
      <t>ハイソウホウホウ</t>
    </rPh>
    <phoneticPr fontId="1"/>
  </si>
  <si>
    <t>ポイント
変倍率</t>
    <phoneticPr fontId="1"/>
  </si>
  <si>
    <t>RSL</t>
    <phoneticPr fontId="1"/>
  </si>
  <si>
    <t>メール便</t>
    <rPh sb="3" eb="4">
      <t>ビン</t>
    </rPh>
    <phoneticPr fontId="1"/>
  </si>
  <si>
    <t>宅急便コンパクト</t>
    <rPh sb="0" eb="3">
      <t>タッキュウビン</t>
    </rPh>
    <phoneticPr fontId="1"/>
  </si>
  <si>
    <t>厚さ1cm以内</t>
    <rPh sb="0" eb="1">
      <t>アツ</t>
    </rPh>
    <rPh sb="5" eb="7">
      <t>イナイ</t>
    </rPh>
    <phoneticPr fontId="1"/>
  </si>
  <si>
    <t>厚さ2cm以内</t>
    <rPh sb="0" eb="1">
      <t>アツ</t>
    </rPh>
    <rPh sb="5" eb="7">
      <t>イナイ</t>
    </rPh>
    <phoneticPr fontId="1"/>
  </si>
  <si>
    <t>厚さ3cm以内</t>
    <rPh sb="0" eb="1">
      <t>アツ</t>
    </rPh>
    <rPh sb="5" eb="7">
      <t>イナイ</t>
    </rPh>
    <phoneticPr fontId="1"/>
  </si>
  <si>
    <t>クリックポスト</t>
    <phoneticPr fontId="1"/>
  </si>
  <si>
    <t>レターパックライト</t>
    <phoneticPr fontId="1"/>
  </si>
  <si>
    <t>レターパックプラス</t>
    <phoneticPr fontId="1"/>
  </si>
  <si>
    <t>極小</t>
    <rPh sb="0" eb="2">
      <t>ゴクショウ</t>
    </rPh>
    <phoneticPr fontId="1"/>
  </si>
  <si>
    <t>1kg以内</t>
  </si>
  <si>
    <t>500ｇ以内</t>
    <rPh sb="4" eb="6">
      <t>イナイ</t>
    </rPh>
    <phoneticPr fontId="1"/>
  </si>
  <si>
    <t>250ｇ以内</t>
    <rPh sb="4" eb="6">
      <t>イナイ</t>
    </rPh>
    <phoneticPr fontId="1"/>
  </si>
  <si>
    <t>150ｇ以内</t>
    <rPh sb="4" eb="6">
      <t>イナイ</t>
    </rPh>
    <phoneticPr fontId="1"/>
  </si>
  <si>
    <t>100ｇ以内</t>
    <rPh sb="4" eb="6">
      <t>イナイ</t>
    </rPh>
    <phoneticPr fontId="1"/>
  </si>
  <si>
    <t>50ｇ以内</t>
    <rPh sb="3" eb="5">
      <t>イナイ</t>
    </rPh>
    <phoneticPr fontId="1"/>
  </si>
  <si>
    <t>2kg以内</t>
    <phoneticPr fontId="1"/>
  </si>
  <si>
    <t>4kg以内</t>
    <phoneticPr fontId="1"/>
  </si>
  <si>
    <t>定形外郵便規格外</t>
    <rPh sb="0" eb="5">
      <t>テイケイガイユウビン</t>
    </rPh>
    <rPh sb="5" eb="7">
      <t>キカク</t>
    </rPh>
    <rPh sb="7" eb="8">
      <t>ガイ</t>
    </rPh>
    <phoneticPr fontId="1"/>
  </si>
  <si>
    <t>定形外郵便規格内</t>
    <rPh sb="0" eb="5">
      <t>テイケイガイユウビン</t>
    </rPh>
    <rPh sb="5" eb="8">
      <t>キカクナイ</t>
    </rPh>
    <phoneticPr fontId="1"/>
  </si>
  <si>
    <t>宅配便</t>
    <rPh sb="0" eb="3">
      <t>タクハイビン</t>
    </rPh>
    <phoneticPr fontId="1"/>
  </si>
  <si>
    <t>配送
サイズ</t>
    <rPh sb="0" eb="2">
      <t>ハイソウ</t>
    </rPh>
    <phoneticPr fontId="1"/>
  </si>
  <si>
    <t>サイズ</t>
    <phoneticPr fontId="1"/>
  </si>
  <si>
    <t>南九州</t>
    <rPh sb="0" eb="3">
      <t>ミナミキュウシュウ</t>
    </rPh>
    <phoneticPr fontId="1"/>
  </si>
  <si>
    <t>北九州</t>
    <rPh sb="0" eb="3">
      <t>キタキュウシュウ</t>
    </rPh>
    <phoneticPr fontId="1"/>
  </si>
  <si>
    <t>四国</t>
    <rPh sb="0" eb="2">
      <t>シコク</t>
    </rPh>
    <phoneticPr fontId="1"/>
  </si>
  <si>
    <t>中国</t>
    <rPh sb="0" eb="2">
      <t>チュウゴク</t>
    </rPh>
    <phoneticPr fontId="1"/>
  </si>
  <si>
    <t>関西</t>
    <rPh sb="0" eb="2">
      <t>カンサイ</t>
    </rPh>
    <phoneticPr fontId="1"/>
  </si>
  <si>
    <t>北陸</t>
    <rPh sb="0" eb="2">
      <t>ホクリク</t>
    </rPh>
    <phoneticPr fontId="1"/>
  </si>
  <si>
    <t>東海</t>
    <rPh sb="0" eb="2">
      <t>トウカイ</t>
    </rPh>
    <phoneticPr fontId="1"/>
  </si>
  <si>
    <t>信越</t>
    <rPh sb="0" eb="2">
      <t>シンエツ</t>
    </rPh>
    <phoneticPr fontId="1"/>
  </si>
  <si>
    <t>関東</t>
    <rPh sb="0" eb="2">
      <t>カントウ</t>
    </rPh>
    <phoneticPr fontId="1"/>
  </si>
  <si>
    <t>南東北</t>
    <rPh sb="0" eb="3">
      <t>ミナミトウホク</t>
    </rPh>
    <phoneticPr fontId="1"/>
  </si>
  <si>
    <t>北東北</t>
    <rPh sb="0" eb="3">
      <t>キタトウホク</t>
    </rPh>
    <phoneticPr fontId="1"/>
  </si>
  <si>
    <t>北海道</t>
    <rPh sb="0" eb="3">
      <t>ホッカイドウ</t>
    </rPh>
    <phoneticPr fontId="1"/>
  </si>
  <si>
    <t>全国平均</t>
    <rPh sb="0" eb="4">
      <t>ゼンコクヘイキン</t>
    </rPh>
    <phoneticPr fontId="1"/>
  </si>
  <si>
    <t>宅配便</t>
    <rPh sb="0" eb="3">
      <t>タクハイビン</t>
    </rPh>
    <phoneticPr fontId="1"/>
  </si>
  <si>
    <t>沖縄</t>
    <rPh sb="0" eb="2">
      <t>オキナワ</t>
    </rPh>
    <phoneticPr fontId="1"/>
  </si>
  <si>
    <t>メール便</t>
    <rPh sb="3" eb="4">
      <t>ビン</t>
    </rPh>
    <phoneticPr fontId="1"/>
  </si>
  <si>
    <t>料金</t>
    <rPh sb="0" eb="2">
      <t>リョウキン</t>
    </rPh>
    <phoneticPr fontId="1"/>
  </si>
  <si>
    <t>RSL</t>
    <phoneticPr fontId="1"/>
  </si>
  <si>
    <t>レターパックプラス</t>
  </si>
  <si>
    <t>レターパックライト</t>
    <phoneticPr fontId="1"/>
  </si>
  <si>
    <t>1kg以内</t>
    <phoneticPr fontId="1"/>
  </si>
  <si>
    <t>100ｇ以内</t>
    <rPh sb="4" eb="6">
      <t>イナイ</t>
    </rPh>
    <phoneticPr fontId="1"/>
  </si>
  <si>
    <t>150ｇ以内</t>
    <rPh sb="4" eb="6">
      <t>イナイ</t>
    </rPh>
    <phoneticPr fontId="1"/>
  </si>
  <si>
    <t>250ｇ以内</t>
    <rPh sb="4" eb="6">
      <t>イナイ</t>
    </rPh>
    <phoneticPr fontId="1"/>
  </si>
  <si>
    <t>500ｇ以内</t>
    <rPh sb="4" eb="6">
      <t>イナイ</t>
    </rPh>
    <phoneticPr fontId="1"/>
  </si>
  <si>
    <t>沖縄</t>
    <rPh sb="0" eb="2">
      <t>オキナワ</t>
    </rPh>
    <phoneticPr fontId="1"/>
  </si>
  <si>
    <t>2kg以内</t>
    <phoneticPr fontId="1"/>
  </si>
  <si>
    <t>4kg以内</t>
    <phoneticPr fontId="1"/>
  </si>
  <si>
    <t>手数料合計</t>
    <rPh sb="0" eb="3">
      <t>テスウリョウ</t>
    </rPh>
    <rPh sb="3" eb="5">
      <t>ゴウケイ</t>
    </rPh>
    <phoneticPr fontId="1"/>
  </si>
  <si>
    <t>閾値</t>
    <rPh sb="0" eb="2">
      <t>シキイチ</t>
    </rPh>
    <phoneticPr fontId="1"/>
  </si>
  <si>
    <t>閾値別売上</t>
    <rPh sb="0" eb="2">
      <t>シキイチ</t>
    </rPh>
    <rPh sb="2" eb="3">
      <t>ベツ</t>
    </rPh>
    <rPh sb="3" eb="5">
      <t>ウリアゲ</t>
    </rPh>
    <phoneticPr fontId="1"/>
  </si>
  <si>
    <t>閾値別料率(PC)</t>
    <rPh sb="0" eb="2">
      <t>シキイチ</t>
    </rPh>
    <rPh sb="2" eb="3">
      <t>ベツ</t>
    </rPh>
    <rPh sb="3" eb="5">
      <t>リョウリツ</t>
    </rPh>
    <rPh sb="4" eb="5">
      <t>リツ</t>
    </rPh>
    <phoneticPr fontId="1"/>
  </si>
  <si>
    <t>閾値別手数料(PC)</t>
    <rPh sb="0" eb="2">
      <t>シキイチ</t>
    </rPh>
    <rPh sb="2" eb="3">
      <t>ベツ</t>
    </rPh>
    <rPh sb="3" eb="6">
      <t>テスウリョウ</t>
    </rPh>
    <phoneticPr fontId="1"/>
  </si>
  <si>
    <t>閾値別料率(ﾓﾊﾞｲﾙ)</t>
    <rPh sb="0" eb="2">
      <t>シキイチ</t>
    </rPh>
    <rPh sb="2" eb="3">
      <t>ベツ</t>
    </rPh>
    <rPh sb="3" eb="5">
      <t>リョウリツ</t>
    </rPh>
    <rPh sb="4" eb="5">
      <t>リツ</t>
    </rPh>
    <phoneticPr fontId="1"/>
  </si>
  <si>
    <t>閾値別手数料(ﾓﾊﾞｲﾙ)</t>
    <rPh sb="0" eb="2">
      <t>シキイチ</t>
    </rPh>
    <rPh sb="2" eb="3">
      <t>ベツ</t>
    </rPh>
    <rPh sb="3" eb="6">
      <t>テスウリョウ</t>
    </rPh>
    <phoneticPr fontId="1"/>
  </si>
  <si>
    <t>その他手数料率</t>
    <rPh sb="2" eb="3">
      <t>タ</t>
    </rPh>
    <rPh sb="3" eb="5">
      <t>テスウ</t>
    </rPh>
    <rPh sb="5" eb="7">
      <t>リョウリツ</t>
    </rPh>
    <rPh sb="6" eb="7">
      <t>リツ</t>
    </rPh>
    <phoneticPr fontId="1"/>
  </si>
  <si>
    <t>RSL（外部倉庫）保管料（月間）</t>
    <rPh sb="4" eb="6">
      <t>ガイブ</t>
    </rPh>
    <rPh sb="6" eb="8">
      <t>ソウコ</t>
    </rPh>
    <rPh sb="9" eb="12">
      <t>ホカンリョウ</t>
    </rPh>
    <phoneticPr fontId="1"/>
  </si>
  <si>
    <t>RSL（外部倉庫）保管料率</t>
    <rPh sb="4" eb="6">
      <t>ガイブ</t>
    </rPh>
    <rPh sb="6" eb="8">
      <t>ソウコ</t>
    </rPh>
    <rPh sb="9" eb="12">
      <t>ホカンリョウ</t>
    </rPh>
    <rPh sb="12" eb="13">
      <t>リツ</t>
    </rPh>
    <phoneticPr fontId="1"/>
  </si>
  <si>
    <t xml:space="preserve">                出荷先割合</t>
    <rPh sb="16" eb="18">
      <t>シュッカ</t>
    </rPh>
    <rPh sb="18" eb="19">
      <t>サキ</t>
    </rPh>
    <rPh sb="19" eb="21">
      <t>ワリアイ</t>
    </rPh>
    <phoneticPr fontId="1"/>
  </si>
  <si>
    <t>作業費</t>
    <rPh sb="0" eb="3">
      <t>サギョウヒ</t>
    </rPh>
    <phoneticPr fontId="1"/>
  </si>
  <si>
    <t>合計</t>
    <rPh sb="0" eb="2">
      <t>ゴウケイ</t>
    </rPh>
    <phoneticPr fontId="1"/>
  </si>
  <si>
    <t>ｺﾝﾊﾟｸﾄ</t>
    <phoneticPr fontId="1"/>
  </si>
  <si>
    <t>販売価格
（税抜）</t>
    <rPh sb="6" eb="7">
      <t>ゼイ</t>
    </rPh>
    <rPh sb="7" eb="8">
      <t>ヌ</t>
    </rPh>
    <phoneticPr fontId="1"/>
  </si>
  <si>
    <t>販売価格
（税込）</t>
    <rPh sb="6" eb="8">
      <t>ゼイコ</t>
    </rPh>
    <phoneticPr fontId="1"/>
  </si>
  <si>
    <t>卸値
（税込）</t>
    <rPh sb="0" eb="1">
      <t>オロシ</t>
    </rPh>
    <rPh sb="1" eb="2">
      <t>アタイ</t>
    </rPh>
    <rPh sb="4" eb="6">
      <t>ゼイコ</t>
    </rPh>
    <phoneticPr fontId="1"/>
  </si>
  <si>
    <t>卸値
（税抜）</t>
    <rPh sb="0" eb="1">
      <t>オロシ</t>
    </rPh>
    <rPh sb="1" eb="2">
      <t>アタイ</t>
    </rPh>
    <rPh sb="4" eb="6">
      <t>ゼイヌ</t>
    </rPh>
    <phoneticPr fontId="1"/>
  </si>
  <si>
    <t>クーポン
値引額</t>
    <rPh sb="5" eb="8">
      <t>ネビキガク</t>
    </rPh>
    <phoneticPr fontId="1"/>
  </si>
  <si>
    <t>値引後価格
（税込）</t>
    <rPh sb="0" eb="3">
      <t>ネビキゴ</t>
    </rPh>
    <rPh sb="7" eb="9">
      <t>ゼイコ</t>
    </rPh>
    <phoneticPr fontId="1"/>
  </si>
  <si>
    <t>反映
利益率</t>
    <rPh sb="0" eb="2">
      <t>ハンエイ</t>
    </rPh>
    <rPh sb="3" eb="5">
      <t>リエキ</t>
    </rPh>
    <rPh sb="5" eb="6">
      <t>リツ</t>
    </rPh>
    <phoneticPr fontId="1"/>
  </si>
  <si>
    <t>反映
利益</t>
    <rPh sb="0" eb="2">
      <t>ハンエイ</t>
    </rPh>
    <rPh sb="3" eb="5">
      <t>リエキ</t>
    </rPh>
    <phoneticPr fontId="1"/>
  </si>
  <si>
    <t>商品管理番号
（商品URL）</t>
    <phoneticPr fontId="1"/>
  </si>
  <si>
    <t>ポイント
増額分</t>
    <rPh sb="5" eb="7">
      <t>ゾウガク</t>
    </rPh>
    <rPh sb="7" eb="8">
      <t>ブン</t>
    </rPh>
    <phoneticPr fontId="1"/>
  </si>
  <si>
    <t>追加費用
単価(税抜)</t>
    <rPh sb="0" eb="2">
      <t>ツイカ</t>
    </rPh>
    <rPh sb="2" eb="3">
      <t>ヒ</t>
    </rPh>
    <rPh sb="3" eb="4">
      <t>ヨウ</t>
    </rPh>
    <rPh sb="5" eb="7">
      <t>タンカ</t>
    </rPh>
    <rPh sb="8" eb="10">
      <t>ゼイヌ</t>
    </rPh>
    <phoneticPr fontId="1"/>
  </si>
  <si>
    <t>倉庫
保管料</t>
    <rPh sb="0" eb="2">
      <t>ソウコ</t>
    </rPh>
    <rPh sb="3" eb="6">
      <t>ホカンリョウ</t>
    </rPh>
    <phoneticPr fontId="1"/>
  </si>
  <si>
    <t>クーポン
発行手数料</t>
    <rPh sb="5" eb="7">
      <t>ハッコウ</t>
    </rPh>
    <rPh sb="7" eb="10">
      <t>テスウリョウ</t>
    </rPh>
    <phoneticPr fontId="1"/>
  </si>
  <si>
    <t>販売
価格</t>
    <phoneticPr fontId="1"/>
  </si>
  <si>
    <t>表示
価格</t>
    <phoneticPr fontId="1"/>
  </si>
  <si>
    <t>倉庫料
有無</t>
    <rPh sb="0" eb="2">
      <t>ソウコ</t>
    </rPh>
    <rPh sb="2" eb="3">
      <t>リョウ</t>
    </rPh>
    <rPh sb="4" eb="6">
      <t>ウム</t>
    </rPh>
    <phoneticPr fontId="1"/>
  </si>
  <si>
    <t>追加
費用</t>
    <rPh sb="0" eb="2">
      <t>ツイカ</t>
    </rPh>
    <rPh sb="3" eb="5">
      <t>ヒヨウ</t>
    </rPh>
    <phoneticPr fontId="1"/>
  </si>
  <si>
    <t>システム手数料</t>
    <rPh sb="4" eb="7">
      <t>テスウリョウ</t>
    </rPh>
    <phoneticPr fontId="1"/>
  </si>
  <si>
    <t>ｼｽﾃﾑ手数料合計</t>
    <rPh sb="4" eb="7">
      <t>テスウリョウ</t>
    </rPh>
    <rPh sb="7" eb="9">
      <t>ゴウケイ</t>
    </rPh>
    <phoneticPr fontId="1"/>
  </si>
  <si>
    <t>決済手数料</t>
    <rPh sb="0" eb="2">
      <t>ケッサイ</t>
    </rPh>
    <rPh sb="2" eb="5">
      <t>テスウリョウ</t>
    </rPh>
    <phoneticPr fontId="1"/>
  </si>
  <si>
    <t>閾値別料率</t>
    <rPh sb="0" eb="2">
      <t>シキイチ</t>
    </rPh>
    <rPh sb="2" eb="3">
      <t>ベツ</t>
    </rPh>
    <rPh sb="3" eb="5">
      <t>リョウリツ</t>
    </rPh>
    <phoneticPr fontId="1"/>
  </si>
  <si>
    <t>閾値別手数料</t>
    <rPh sb="0" eb="2">
      <t>シキイチ</t>
    </rPh>
    <rPh sb="2" eb="3">
      <t>ベツ</t>
    </rPh>
    <rPh sb="3" eb="6">
      <t>テスウリョウ</t>
    </rPh>
    <phoneticPr fontId="1"/>
  </si>
  <si>
    <t>決済手数料合計</t>
    <rPh sb="0" eb="2">
      <t>ケッサイ</t>
    </rPh>
    <rPh sb="2" eb="5">
      <t>テスウリョウ</t>
    </rPh>
    <rPh sb="5" eb="7">
      <t>ゴウケイ</t>
    </rPh>
    <phoneticPr fontId="1"/>
  </si>
  <si>
    <t>送料負担なし</t>
    <rPh sb="0" eb="4">
      <t>ソウリョウフタン</t>
    </rPh>
    <phoneticPr fontId="1"/>
  </si>
  <si>
    <t>商品体積
（cm3）</t>
    <rPh sb="0" eb="2">
      <t>ショウヒン</t>
    </rPh>
    <rPh sb="2" eb="4">
      <t>タイセキ</t>
    </rPh>
    <phoneticPr fontId="1"/>
  </si>
  <si>
    <t>平均在庫
日数</t>
    <rPh sb="0" eb="2">
      <t>ヘイキン</t>
    </rPh>
    <rPh sb="2" eb="4">
      <t>ザイコ</t>
    </rPh>
    <rPh sb="5" eb="7">
      <t>ニッスウ</t>
    </rPh>
    <phoneticPr fontId="1"/>
  </si>
  <si>
    <t>その他手数料</t>
    <rPh sb="2" eb="3">
      <t>タ</t>
    </rPh>
    <rPh sb="3" eb="6">
      <t>テスウリョウ</t>
    </rPh>
    <phoneticPr fontId="1"/>
  </si>
  <si>
    <t>その他手数料（月間）</t>
    <rPh sb="2" eb="3">
      <t>タ</t>
    </rPh>
    <rPh sb="3" eb="6">
      <t>テスウリョウ</t>
    </rPh>
    <rPh sb="7" eb="9">
      <t>ゲッカン</t>
    </rPh>
    <phoneticPr fontId="1"/>
  </si>
  <si>
    <t>項目名</t>
    <rPh sb="0" eb="3">
      <t>コウモクメイ</t>
    </rPh>
    <phoneticPr fontId="1"/>
  </si>
  <si>
    <t>金額</t>
    <rPh sb="0" eb="2">
      <t>キンガク</t>
    </rPh>
    <phoneticPr fontId="1"/>
  </si>
  <si>
    <t>合計</t>
    <rPh sb="0" eb="2">
      <t>ゴウケイ</t>
    </rPh>
    <phoneticPr fontId="1"/>
  </si>
  <si>
    <t>1.使う前の準備</t>
  </si>
  <si>
    <t>＊PC,モバイルの比率は、</t>
  </si>
  <si>
    <t xml:space="preserve">   RMSメインメニュー＞データ分析＞店舗カルテ＞分析用レポート</t>
  </si>
  <si>
    <t xml:space="preserve">   ただし、比率は自分で計算する必要があります。</t>
  </si>
  <si>
    <t>＊アフリエイトの利用料は、</t>
  </si>
  <si>
    <t>②送料タブの背景が薄いオレンジ色の部分に必要な項目を入力してください。</t>
  </si>
  <si>
    <t>＊出荷先の割合は、</t>
  </si>
  <si>
    <t xml:space="preserve">    実際にはここのデーターはアクセス数となります。</t>
  </si>
  <si>
    <t>本来の購入者データーは</t>
  </si>
  <si>
    <t>RMSメインメニュー→データ分析→販促効果測定→顧客分析レポート</t>
  </si>
  <si>
    <t>対応方法としては、基本は顧客分析レポートの比率を入れて、必要な東北と九州はアクセス数の比率で按分する</t>
  </si>
  <si>
    <t>もしくは配送業者から実績を入手する等で対応してください。</t>
  </si>
  <si>
    <t>その他、郵便、資材等の店舗の必要事項を記入します。</t>
  </si>
  <si>
    <t>2.使い方</t>
  </si>
  <si>
    <t>②必要事項を入力します。販売価格～卸値までを必要に応じて入力してください。</t>
  </si>
  <si>
    <t xml:space="preserve">         ＊ポイント変倍とクーポンを両方選択することは可能です。</t>
  </si>
  <si>
    <t xml:space="preserve">         ＊RSLのオプション費用などは、追加費用欄に記載します。</t>
  </si>
  <si>
    <t>（３）配送方法を選択します。</t>
  </si>
  <si>
    <t>（４）配送サイズを選択します。</t>
  </si>
  <si>
    <t>＊「倉庫料有無～平均在庫日数」はRSLの倉庫料の計算に使用します。</t>
  </si>
  <si>
    <t>＊外部倉庫の使用料などは、「追加費用」欄に適宜記入して使用してください。</t>
  </si>
  <si>
    <t>送料関係一覧</t>
    <rPh sb="0" eb="2">
      <t>ソウリョウ</t>
    </rPh>
    <rPh sb="2" eb="4">
      <t>カンケイ</t>
    </rPh>
    <rPh sb="4" eb="6">
      <t>イチラン</t>
    </rPh>
    <phoneticPr fontId="1"/>
  </si>
  <si>
    <t>＊税抜きにて記載してください。</t>
    <phoneticPr fontId="1"/>
  </si>
  <si>
    <t xml:space="preserve">   RMSメインメニュー＞広告・アフリエイト＞アフリエイト＞請求レポート</t>
    <phoneticPr fontId="1"/>
  </si>
  <si>
    <t xml:space="preserve">   RMSトップ＞データ分析＞アクセス・流入分析＞店舗全体＞顧客属性</t>
    <phoneticPr fontId="1"/>
  </si>
  <si>
    <t xml:space="preserve">   概算でよければこちらの方が簡単です。</t>
    <rPh sb="14" eb="15">
      <t>ホウ</t>
    </rPh>
    <rPh sb="16" eb="18">
      <t>カンタン</t>
    </rPh>
    <phoneticPr fontId="1"/>
  </si>
  <si>
    <r>
      <t>（１）消費税、送料は</t>
    </r>
    <r>
      <rPr>
        <b/>
        <sz val="11"/>
        <color theme="4" tint="-0.249977111117893"/>
        <rFont val="游ゴシック"/>
        <family val="3"/>
        <charset val="128"/>
        <scheme val="minor"/>
      </rPr>
      <t>「込み→1」「別途→0」</t>
    </r>
    <r>
      <rPr>
        <sz val="11"/>
        <color theme="1"/>
        <rFont val="游ゴシック"/>
        <family val="2"/>
        <charset val="128"/>
        <scheme val="minor"/>
      </rPr>
      <t>で入力してください。</t>
    </r>
    <phoneticPr fontId="1"/>
  </si>
  <si>
    <r>
      <t>（２）クーポンは</t>
    </r>
    <r>
      <rPr>
        <b/>
        <sz val="11"/>
        <color theme="4" tint="-0.249977111117893"/>
        <rFont val="游ゴシック"/>
        <family val="3"/>
        <charset val="128"/>
        <scheme val="minor"/>
      </rPr>
      <t>「率」か「額」かのどちらか一方</t>
    </r>
    <r>
      <rPr>
        <sz val="11"/>
        <color theme="1"/>
        <rFont val="游ゴシック"/>
        <family val="2"/>
        <charset val="128"/>
        <scheme val="minor"/>
      </rPr>
      <t>の入力となります。</t>
    </r>
    <phoneticPr fontId="1"/>
  </si>
  <si>
    <r>
      <t xml:space="preserve">       </t>
    </r>
    <r>
      <rPr>
        <b/>
        <sz val="11"/>
        <color rgb="FFC00000"/>
        <rFont val="游ゴシック"/>
        <family val="3"/>
        <charset val="128"/>
        <scheme val="minor"/>
      </rPr>
      <t>＊必ず「配送方法→配送サイズ」の順で選択</t>
    </r>
    <r>
      <rPr>
        <sz val="11"/>
        <color theme="1"/>
        <rFont val="游ゴシック"/>
        <family val="2"/>
        <charset val="128"/>
        <scheme val="minor"/>
      </rPr>
      <t>してください。</t>
    </r>
    <phoneticPr fontId="1"/>
  </si>
  <si>
    <t xml:space="preserve">       ＊ 配送サイズを先に選ぶと正しく反映されません。</t>
    <phoneticPr fontId="1"/>
  </si>
  <si>
    <t>③右側をみていただくと、それぞれの段階での「利益」、「利益率」が表示されます。</t>
    <phoneticPr fontId="1"/>
  </si>
  <si>
    <t>④クーポンの割引額やポイント倍率など、数値をいれかえてみると、どれだけの利益が出るのかが簡単にわかります。</t>
    <rPh sb="6" eb="8">
      <t>ワリビキ</t>
    </rPh>
    <rPh sb="8" eb="9">
      <t>ガク</t>
    </rPh>
    <rPh sb="14" eb="16">
      <t>バイリツ</t>
    </rPh>
    <rPh sb="19" eb="21">
      <t>スウチ</t>
    </rPh>
    <rPh sb="36" eb="38">
      <t>リエキ</t>
    </rPh>
    <rPh sb="39" eb="40">
      <t>デ</t>
    </rPh>
    <rPh sb="44" eb="46">
      <t>カンタン</t>
    </rPh>
    <phoneticPr fontId="1"/>
  </si>
  <si>
    <t>スタンダードプラン</t>
  </si>
  <si>
    <t>RPP
(獲得単価）</t>
    <rPh sb="5" eb="7">
      <t>カクトク</t>
    </rPh>
    <rPh sb="7" eb="9">
      <t>タンカ</t>
    </rPh>
    <phoneticPr fontId="1"/>
  </si>
  <si>
    <t>③RPPをご利用の方は</t>
    <rPh sb="6" eb="8">
      <t>リヨウ</t>
    </rPh>
    <rPh sb="9" eb="10">
      <t>カタ</t>
    </rPh>
    <phoneticPr fontId="1"/>
  </si>
  <si>
    <t xml:space="preserve">   RMSトップ＞広告・アフィリエイト・楽天大学＞広告（プロモーションメニュー）＞検索連動型広告（RPP)＞パフォーマンスレポート</t>
    <rPh sb="10" eb="12">
      <t>コウコク</t>
    </rPh>
    <rPh sb="21" eb="23">
      <t>ラクテン</t>
    </rPh>
    <rPh sb="23" eb="25">
      <t>ダイガク</t>
    </rPh>
    <rPh sb="26" eb="28">
      <t>コウコク</t>
    </rPh>
    <rPh sb="42" eb="44">
      <t>ケンサク</t>
    </rPh>
    <rPh sb="44" eb="47">
      <t>レンドウガタ</t>
    </rPh>
    <rPh sb="47" eb="49">
      <t>コウコク</t>
    </rPh>
    <phoneticPr fontId="1"/>
  </si>
  <si>
    <t>　こちらで集計単位を商品別にチェックし、任意の期間を選択し、全商品レポートダウンロードを押下ください。</t>
    <rPh sb="5" eb="9">
      <t>シュウケイタンイ</t>
    </rPh>
    <rPh sb="10" eb="13">
      <t>ショウヒンベツ</t>
    </rPh>
    <rPh sb="20" eb="22">
      <t>ニンイ</t>
    </rPh>
    <rPh sb="23" eb="25">
      <t>キカン</t>
    </rPh>
    <rPh sb="26" eb="28">
      <t>センタク</t>
    </rPh>
    <rPh sb="30" eb="33">
      <t>ゼンショウヒン</t>
    </rPh>
    <rPh sb="44" eb="46">
      <t>オウカ</t>
    </rPh>
    <phoneticPr fontId="1"/>
  </si>
  <si>
    <r>
      <t>①店舗情報シートの</t>
    </r>
    <r>
      <rPr>
        <b/>
        <sz val="11"/>
        <color theme="5"/>
        <rFont val="游ゴシック"/>
        <family val="3"/>
        <charset val="128"/>
        <scheme val="minor"/>
      </rPr>
      <t>「背景が薄いオレンジ色の部分」</t>
    </r>
    <r>
      <rPr>
        <sz val="11"/>
        <color theme="1"/>
        <rFont val="游ゴシック"/>
        <family val="2"/>
        <charset val="128"/>
        <scheme val="minor"/>
      </rPr>
      <t>に必要な項目を入力してください。</t>
    </r>
    <phoneticPr fontId="1"/>
  </si>
  <si>
    <t>小5cm</t>
    <rPh sb="0" eb="1">
      <t>ショウ</t>
    </rPh>
    <phoneticPr fontId="1"/>
  </si>
  <si>
    <t>大140</t>
    <rPh sb="0" eb="1">
      <t>ダイ</t>
    </rPh>
    <phoneticPr fontId="1"/>
  </si>
  <si>
    <t>大160</t>
    <rPh sb="0" eb="1">
      <t>ダイ</t>
    </rPh>
    <phoneticPr fontId="1"/>
  </si>
  <si>
    <t>中120</t>
    <rPh sb="0" eb="1">
      <t>チュウ</t>
    </rPh>
    <phoneticPr fontId="1"/>
  </si>
  <si>
    <t>小40</t>
    <rPh sb="0" eb="1">
      <t>ショウ</t>
    </rPh>
    <phoneticPr fontId="1"/>
  </si>
  <si>
    <t>小60</t>
    <rPh sb="0" eb="1">
      <t>ショウ</t>
    </rPh>
    <phoneticPr fontId="1"/>
  </si>
  <si>
    <t>小80</t>
    <rPh sb="0" eb="1">
      <t>ショウ</t>
    </rPh>
    <phoneticPr fontId="1"/>
  </si>
  <si>
    <t>小100</t>
    <rPh sb="0" eb="1">
      <t>ショウ</t>
    </rPh>
    <phoneticPr fontId="1"/>
  </si>
  <si>
    <t>①商品管理番号を入れます。</t>
    <phoneticPr fontId="1"/>
  </si>
  <si>
    <t>儲かる君プロマニュアル</t>
    <rPh sb="0" eb="1">
      <t>モウ</t>
    </rPh>
    <rPh sb="3" eb="4">
      <t>クン</t>
    </rPh>
    <phoneticPr fontId="1"/>
  </si>
  <si>
    <t>販売個数</t>
    <rPh sb="0" eb="2">
      <t>ハンバイ</t>
    </rPh>
    <rPh sb="2" eb="4">
      <t>コスウ</t>
    </rPh>
    <phoneticPr fontId="1"/>
  </si>
  <si>
    <t>販売利益</t>
    <rPh sb="0" eb="2">
      <t>ハンバイ</t>
    </rPh>
    <rPh sb="2" eb="4">
      <t>リエキ</t>
    </rPh>
    <phoneticPr fontId="1"/>
  </si>
  <si>
    <t>④販売利益を確認したい方は</t>
    <rPh sb="1" eb="5">
      <t>ハンバイリエキ</t>
    </rPh>
    <rPh sb="6" eb="8">
      <t>カクニン</t>
    </rPh>
    <rPh sb="11" eb="12">
      <t>カタ</t>
    </rPh>
    <phoneticPr fontId="1"/>
  </si>
  <si>
    <t xml:space="preserve">   RMSトップ＞データ分析＞4.売上分析＞商品別売上</t>
    <rPh sb="13" eb="15">
      <t>ブンセキ</t>
    </rPh>
    <rPh sb="18" eb="20">
      <t>ウリアゲ</t>
    </rPh>
    <rPh sb="23" eb="25">
      <t>ショウヒン</t>
    </rPh>
    <rPh sb="25" eb="26">
      <t>ベツ</t>
    </rPh>
    <rPh sb="26" eb="28">
      <t>ブンウリウリアゲアゲ</t>
    </rPh>
    <phoneticPr fontId="1"/>
  </si>
  <si>
    <r>
      <t xml:space="preserve">   RMSトップ＞広告・アフィリエイト・楽天大学＞広告（プロモーションメニュー）＞検索連動型広告（RPP)＞ダウンロード履歴</t>
    </r>
    <r>
      <rPr>
        <sz val="11"/>
        <rFont val="游ゴシック"/>
        <family val="3"/>
        <charset val="128"/>
        <scheme val="minor"/>
      </rPr>
      <t>　よりダウンロードし、シート「③RPP」に全選択し、貼り付けください。</t>
    </r>
    <rPh sb="10" eb="12">
      <t>コウコク</t>
    </rPh>
    <rPh sb="21" eb="23">
      <t>ラクテン</t>
    </rPh>
    <rPh sb="23" eb="25">
      <t>ダイガク</t>
    </rPh>
    <rPh sb="26" eb="28">
      <t>コウコク</t>
    </rPh>
    <rPh sb="42" eb="44">
      <t>ケンサク</t>
    </rPh>
    <rPh sb="44" eb="47">
      <t>レンドウガタ</t>
    </rPh>
    <rPh sb="47" eb="49">
      <t>コウコク</t>
    </rPh>
    <rPh sb="61" eb="63">
      <t>リレキ</t>
    </rPh>
    <rPh sb="84" eb="87">
      <t>ゼンセンタク</t>
    </rPh>
    <rPh sb="89" eb="90">
      <t>ハ</t>
    </rPh>
    <rPh sb="91" eb="92">
      <t>ツ</t>
    </rPh>
    <phoneticPr fontId="1"/>
  </si>
  <si>
    <t>　期間を選択を行い、「CSVダウンロード」し、シート「④商品別売上データ」に全選択し、貼り付けください。</t>
    <rPh sb="1" eb="3">
      <t>キカン</t>
    </rPh>
    <rPh sb="4" eb="6">
      <t>センタク</t>
    </rPh>
    <rPh sb="7" eb="8">
      <t>オコナ</t>
    </rPh>
    <rPh sb="28" eb="31">
      <t>ショウヒンベツ</t>
    </rPh>
    <rPh sb="31" eb="33">
      <t>ウリアゲ</t>
    </rPh>
    <rPh sb="38" eb="41">
      <t>ゼンセンタク</t>
    </rPh>
    <rPh sb="43" eb="44">
      <t>ハ</t>
    </rPh>
    <rPh sb="45" eb="46">
      <t>ツ</t>
    </rPh>
    <phoneticPr fontId="1"/>
  </si>
  <si>
    <t>※逓減課金方式</t>
    <phoneticPr fontId="1"/>
  </si>
  <si>
    <t>こちらですと、北東北、南東北、南九州、北九州の区分けがありません。</t>
    <phoneticPr fontId="1"/>
  </si>
  <si>
    <t>商品名</t>
    <phoneticPr fontId="1"/>
  </si>
  <si>
    <t>割引率</t>
    <rPh sb="0" eb="3">
      <t>ワリビキリツ</t>
    </rPh>
    <phoneticPr fontId="1"/>
  </si>
  <si>
    <t>割引額</t>
    <rPh sb="0" eb="3">
      <t>ワリビキガク</t>
    </rPh>
    <phoneticPr fontId="1"/>
  </si>
  <si>
    <t>宅配便</t>
  </si>
  <si>
    <t>複数買いクーポン個数</t>
    <rPh sb="0" eb="2">
      <t>フクスウ</t>
    </rPh>
    <rPh sb="2" eb="3">
      <t>ガ</t>
    </rPh>
    <rPh sb="8" eb="10">
      <t>コスウ</t>
    </rPh>
    <phoneticPr fontId="1"/>
  </si>
  <si>
    <t>【試算表】</t>
    <rPh sb="1" eb="4">
      <t>シサンヒョウ</t>
    </rPh>
    <phoneticPr fontId="1"/>
  </si>
  <si>
    <t>【複数買い最適化】</t>
    <rPh sb="1" eb="4">
      <t>フクスウガ</t>
    </rPh>
    <rPh sb="5" eb="8">
      <t>サイテキカ</t>
    </rPh>
    <phoneticPr fontId="1"/>
  </si>
  <si>
    <t>※試算表に入力済み前提</t>
    <rPh sb="1" eb="4">
      <t>シサンヒョウ</t>
    </rPh>
    <rPh sb="5" eb="8">
      <t>ニュウリョクズ</t>
    </rPh>
    <rPh sb="9" eb="11">
      <t>ゼンテイ</t>
    </rPh>
    <phoneticPr fontId="1"/>
  </si>
  <si>
    <t>①最適化したい商品の商品管理番号を入力</t>
    <rPh sb="1" eb="4">
      <t>サイテキカ</t>
    </rPh>
    <rPh sb="7" eb="9">
      <t>ショウヒン</t>
    </rPh>
    <rPh sb="10" eb="16">
      <t>ショウヒンカンリバンゴウ</t>
    </rPh>
    <rPh sb="17" eb="19">
      <t>ニュウリョク</t>
    </rPh>
    <phoneticPr fontId="1"/>
  </si>
  <si>
    <t>②個数と割引率（まとめ買いクーポンの想定値）、配送方法、配送サイズを入力。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</si>
</sst>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
    <numFmt numFmtId="178" formatCode="0_);[Red]\(0\)"/>
    <numFmt numFmtId="179" formatCode="#,##0_);[Red]\(#,##0\)"/>
    <numFmt numFmtId="180" formatCode="#,##0_ "/>
  </numFmts>
  <fonts count="2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rgb="FF000000"/>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9"/>
      <color indexed="81"/>
      <name val="MS P ゴシック"/>
      <family val="3"/>
      <charset val="128"/>
    </font>
    <font>
      <b/>
      <sz val="9"/>
      <color indexed="81"/>
      <name val="MS P ゴシック"/>
      <family val="3"/>
      <charset val="128"/>
    </font>
    <font>
      <b/>
      <sz val="11"/>
      <color theme="1"/>
      <name val="游ゴシック"/>
      <family val="3"/>
      <charset val="128"/>
      <scheme val="minor"/>
    </font>
    <font>
      <sz val="14"/>
      <color theme="1"/>
      <name val="游ゴシック"/>
      <family val="2"/>
      <charset val="128"/>
      <scheme val="minor"/>
    </font>
    <font>
      <b/>
      <sz val="12"/>
      <color theme="1"/>
      <name val="游ゴシック"/>
      <family val="3"/>
      <charset val="128"/>
      <scheme val="minor"/>
    </font>
    <font>
      <b/>
      <sz val="16"/>
      <color theme="1"/>
      <name val="游ゴシック"/>
      <family val="3"/>
      <charset val="128"/>
      <scheme val="minor"/>
    </font>
    <font>
      <b/>
      <sz val="11"/>
      <color theme="4" tint="-0.249977111117893"/>
      <name val="游ゴシック"/>
      <family val="3"/>
      <charset val="128"/>
      <scheme val="minor"/>
    </font>
    <font>
      <b/>
      <sz val="11"/>
      <color theme="5"/>
      <name val="游ゴシック"/>
      <family val="3"/>
      <charset val="128"/>
      <scheme val="minor"/>
    </font>
    <font>
      <b/>
      <sz val="11"/>
      <color rgb="FFC00000"/>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1"/>
      <name val="游ゴシック"/>
      <family val="2"/>
      <charset val="128"/>
      <scheme val="minor"/>
    </font>
    <font>
      <sz val="8"/>
      <name val="游ゴシック"/>
      <family val="2"/>
      <charset val="128"/>
      <scheme val="minor"/>
    </font>
    <font>
      <sz val="11"/>
      <color rgb="FFED0000"/>
      <name val="游ゴシック"/>
      <family val="2"/>
      <charset val="128"/>
      <scheme val="minor"/>
    </font>
    <font>
      <sz val="10"/>
      <color rgb="FFF8F8F8"/>
      <name val="游ゴシック"/>
      <family val="3"/>
      <charset val="128"/>
      <scheme val="minor"/>
    </font>
    <font>
      <sz val="11"/>
      <color rgb="FFF8F8F8"/>
      <name val="游ゴシック"/>
      <family val="3"/>
      <charset val="128"/>
      <scheme val="minor"/>
    </font>
    <font>
      <b/>
      <u/>
      <sz val="11"/>
      <color rgb="FFFF0000"/>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E3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46">
    <xf numFmtId="0" fontId="0" fillId="0" borderId="0" xfId="0">
      <alignment vertical="center"/>
    </xf>
    <xf numFmtId="0" fontId="0" fillId="0" borderId="1" xfId="0" applyBorder="1">
      <alignment vertical="center"/>
    </xf>
    <xf numFmtId="0" fontId="0" fillId="6" borderId="1" xfId="0" applyFill="1" applyBorder="1">
      <alignment vertical="center"/>
    </xf>
    <xf numFmtId="177" fontId="0" fillId="0" borderId="1" xfId="0" applyNumberFormat="1" applyBorder="1">
      <alignment vertical="center"/>
    </xf>
    <xf numFmtId="3" fontId="0" fillId="3" borderId="1" xfId="0" applyNumberFormat="1" applyFill="1" applyBorder="1">
      <alignment vertical="center"/>
    </xf>
    <xf numFmtId="3" fontId="0" fillId="0" borderId="1" xfId="0" applyNumberFormat="1" applyBorder="1">
      <alignment vertical="center"/>
    </xf>
    <xf numFmtId="3" fontId="0" fillId="0" borderId="0" xfId="0" applyNumberFormat="1">
      <alignment vertical="center"/>
    </xf>
    <xf numFmtId="176" fontId="0" fillId="0" borderId="0" xfId="0" applyNumberFormat="1">
      <alignment vertical="center"/>
    </xf>
    <xf numFmtId="177" fontId="0" fillId="0" borderId="0" xfId="0" applyNumberFormat="1">
      <alignment vertical="center"/>
    </xf>
    <xf numFmtId="10" fontId="0" fillId="0" borderId="0" xfId="0" applyNumberFormat="1">
      <alignment vertical="center"/>
    </xf>
    <xf numFmtId="38" fontId="0" fillId="0" borderId="0" xfId="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5" xfId="0" applyBorder="1">
      <alignment vertical="center"/>
    </xf>
    <xf numFmtId="0" fontId="3" fillId="0" borderId="0" xfId="0" applyFont="1" applyAlignment="1">
      <alignment horizontal="center" vertical="center"/>
    </xf>
    <xf numFmtId="0" fontId="4" fillId="0" borderId="7" xfId="0" applyFont="1" applyBorder="1">
      <alignment vertical="center"/>
    </xf>
    <xf numFmtId="0" fontId="4" fillId="0" borderId="5" xfId="0" applyFont="1" applyBorder="1">
      <alignment vertical="center"/>
    </xf>
    <xf numFmtId="0" fontId="4" fillId="0" borderId="6" xfId="0" applyFont="1" applyBorder="1">
      <alignment vertical="center"/>
    </xf>
    <xf numFmtId="38" fontId="4" fillId="0" borderId="1" xfId="1" applyFont="1" applyBorder="1" applyAlignment="1">
      <alignment horizontal="center" vertical="center"/>
    </xf>
    <xf numFmtId="38" fontId="3" fillId="0" borderId="2" xfId="1" applyFont="1" applyBorder="1" applyAlignment="1">
      <alignment vertical="center"/>
    </xf>
    <xf numFmtId="0" fontId="3" fillId="0" borderId="4" xfId="0" applyFont="1" applyBorder="1" applyAlignment="1">
      <alignment horizontal="center" vertical="center"/>
    </xf>
    <xf numFmtId="38" fontId="4" fillId="0" borderId="3" xfId="1" applyFont="1" applyBorder="1">
      <alignment vertical="center"/>
    </xf>
    <xf numFmtId="10" fontId="4" fillId="0" borderId="1" xfId="0" applyNumberFormat="1"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38" fontId="4" fillId="0" borderId="0" xfId="1" applyFont="1" applyBorder="1" applyAlignment="1">
      <alignment horizontal="center" vertical="center"/>
    </xf>
    <xf numFmtId="0" fontId="4" fillId="0" borderId="0" xfId="0" applyFont="1">
      <alignment vertical="center"/>
    </xf>
    <xf numFmtId="0" fontId="4" fillId="0" borderId="5" xfId="0" applyFont="1" applyBorder="1" applyAlignment="1">
      <alignment horizontal="center" vertical="center"/>
    </xf>
    <xf numFmtId="0" fontId="4" fillId="0" borderId="1" xfId="0" applyFont="1" applyBorder="1">
      <alignment vertical="center"/>
    </xf>
    <xf numFmtId="38" fontId="4" fillId="0" borderId="1" xfId="1" applyFont="1" applyBorder="1" applyAlignment="1">
      <alignment vertical="center"/>
    </xf>
    <xf numFmtId="0" fontId="5" fillId="0" borderId="0" xfId="0" applyFont="1">
      <alignment vertical="center"/>
    </xf>
    <xf numFmtId="0" fontId="5" fillId="0" borderId="9" xfId="0" applyFont="1" applyBorder="1">
      <alignment vertical="center"/>
    </xf>
    <xf numFmtId="38" fontId="0" fillId="6" borderId="9" xfId="1" applyFont="1" applyFill="1" applyBorder="1">
      <alignment vertical="center"/>
    </xf>
    <xf numFmtId="38" fontId="0" fillId="6" borderId="1" xfId="1" applyFont="1" applyFill="1" applyBorder="1">
      <alignment vertical="center"/>
    </xf>
    <xf numFmtId="9" fontId="0" fillId="6" borderId="1" xfId="0" applyNumberFormat="1" applyFill="1" applyBorder="1">
      <alignment vertical="center"/>
    </xf>
    <xf numFmtId="0" fontId="0" fillId="0" borderId="10" xfId="0" applyBorder="1" applyAlignment="1">
      <alignment horizontal="center" vertical="center"/>
    </xf>
    <xf numFmtId="0" fontId="4" fillId="0" borderId="8" xfId="0" applyFont="1" applyBorder="1" applyAlignment="1">
      <alignment horizontal="center" vertical="center"/>
    </xf>
    <xf numFmtId="10" fontId="0" fillId="0" borderId="13" xfId="2" applyNumberFormat="1" applyFont="1" applyBorder="1">
      <alignment vertical="center"/>
    </xf>
    <xf numFmtId="0" fontId="5" fillId="0" borderId="12" xfId="0" applyFont="1" applyBorder="1">
      <alignment vertical="center"/>
    </xf>
    <xf numFmtId="10" fontId="0" fillId="0" borderId="12" xfId="2" applyNumberFormat="1" applyFont="1" applyBorder="1">
      <alignment vertical="center"/>
    </xf>
    <xf numFmtId="0" fontId="6" fillId="0" borderId="14" xfId="0" applyFont="1" applyBorder="1" applyAlignment="1">
      <alignment vertical="center" wrapText="1"/>
    </xf>
    <xf numFmtId="10" fontId="0" fillId="0" borderId="14" xfId="0" applyNumberFormat="1" applyBorder="1">
      <alignment vertical="center"/>
    </xf>
    <xf numFmtId="0" fontId="5" fillId="0" borderId="14" xfId="0" applyFont="1" applyBorder="1">
      <alignment vertical="center"/>
    </xf>
    <xf numFmtId="10" fontId="0" fillId="0" borderId="14" xfId="2" applyNumberFormat="1" applyFont="1" applyBorder="1">
      <alignment vertical="center"/>
    </xf>
    <xf numFmtId="0" fontId="5" fillId="0" borderId="11" xfId="0" applyFont="1" applyBorder="1">
      <alignment vertical="center"/>
    </xf>
    <xf numFmtId="0" fontId="0" fillId="6" borderId="1" xfId="0" applyFill="1" applyBorder="1" applyAlignment="1">
      <alignment horizontal="center" vertical="center"/>
    </xf>
    <xf numFmtId="0" fontId="0" fillId="2" borderId="1" xfId="0" applyFill="1" applyBorder="1" applyAlignment="1">
      <alignment horizontal="center" vertical="center" wrapText="1"/>
    </xf>
    <xf numFmtId="0" fontId="0" fillId="0" borderId="3" xfId="0" applyBorder="1">
      <alignment vertical="center"/>
    </xf>
    <xf numFmtId="9" fontId="0" fillId="0" borderId="0" xfId="2" applyFont="1">
      <alignment vertical="center"/>
    </xf>
    <xf numFmtId="0" fontId="7" fillId="0" borderId="1" xfId="0" applyFont="1" applyBorder="1">
      <alignment vertical="center"/>
    </xf>
    <xf numFmtId="0" fontId="5" fillId="0" borderId="15" xfId="0" applyFont="1" applyBorder="1">
      <alignment vertical="center"/>
    </xf>
    <xf numFmtId="10" fontId="0" fillId="0" borderId="15" xfId="2" applyNumberFormat="1" applyFont="1" applyBorder="1">
      <alignment vertical="center"/>
    </xf>
    <xf numFmtId="0" fontId="5" fillId="0" borderId="16" xfId="0" applyFont="1" applyBorder="1">
      <alignment vertical="center"/>
    </xf>
    <xf numFmtId="10" fontId="0" fillId="0" borderId="16" xfId="2" applyNumberFormat="1" applyFont="1" applyBorder="1">
      <alignment vertical="center"/>
    </xf>
    <xf numFmtId="38" fontId="0" fillId="0" borderId="1" xfId="1" applyFont="1" applyBorder="1">
      <alignment vertical="center"/>
    </xf>
    <xf numFmtId="38" fontId="4" fillId="0" borderId="1" xfId="1" applyFont="1" applyBorder="1">
      <alignment vertical="center"/>
    </xf>
    <xf numFmtId="10" fontId="0" fillId="0" borderId="12" xfId="0" applyNumberFormat="1" applyBorder="1">
      <alignment vertical="center"/>
    </xf>
    <xf numFmtId="38" fontId="4" fillId="0" borderId="9" xfId="1" applyFont="1" applyBorder="1">
      <alignment vertical="center"/>
    </xf>
    <xf numFmtId="38" fontId="0" fillId="0" borderId="9" xfId="1" applyFont="1" applyBorder="1">
      <alignment vertical="center"/>
    </xf>
    <xf numFmtId="38" fontId="5" fillId="0" borderId="8" xfId="1" applyFont="1" applyBorder="1">
      <alignment vertical="center"/>
    </xf>
    <xf numFmtId="38" fontId="0" fillId="0" borderId="8" xfId="1" applyFont="1" applyBorder="1">
      <alignment vertical="center"/>
    </xf>
    <xf numFmtId="10" fontId="0" fillId="0" borderId="1" xfId="2" applyNumberFormat="1" applyFont="1" applyBorder="1">
      <alignment vertical="center"/>
    </xf>
    <xf numFmtId="38" fontId="0" fillId="0" borderId="1" xfId="0" applyNumberFormat="1" applyBorder="1">
      <alignment vertical="center"/>
    </xf>
    <xf numFmtId="10" fontId="0" fillId="3" borderId="11" xfId="2" applyNumberFormat="1" applyFont="1" applyFill="1" applyBorder="1">
      <alignment vertical="center"/>
    </xf>
    <xf numFmtId="0" fontId="5" fillId="0" borderId="1" xfId="0" applyFont="1" applyBorder="1" applyAlignment="1">
      <alignment horizontal="center" vertical="center"/>
    </xf>
    <xf numFmtId="10" fontId="8" fillId="0" borderId="1" xfId="2" applyNumberFormat="1" applyFont="1" applyBorder="1">
      <alignment vertical="center"/>
    </xf>
    <xf numFmtId="0" fontId="6" fillId="0" borderId="0" xfId="0" applyFont="1">
      <alignment vertical="center"/>
    </xf>
    <xf numFmtId="0" fontId="6" fillId="0" borderId="1" xfId="0" applyFont="1" applyBorder="1">
      <alignment vertical="center"/>
    </xf>
    <xf numFmtId="177" fontId="0" fillId="0" borderId="1" xfId="2" applyNumberFormat="1" applyFont="1" applyBorder="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0" fontId="0" fillId="3" borderId="0" xfId="0" applyFill="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center" vertical="center"/>
    </xf>
    <xf numFmtId="9" fontId="0" fillId="6" borderId="1" xfId="2" applyFont="1" applyFill="1" applyBorder="1">
      <alignment vertical="center"/>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6" borderId="1" xfId="0" applyFont="1" applyFill="1" applyBorder="1" applyAlignment="1">
      <alignment horizontal="center" vertical="center" wrapText="1"/>
    </xf>
    <xf numFmtId="3" fontId="0" fillId="7" borderId="1" xfId="0" applyNumberForma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0" fillId="6" borderId="3" xfId="0" applyFill="1" applyBorder="1">
      <alignment vertical="center"/>
    </xf>
    <xf numFmtId="0" fontId="0" fillId="0" borderId="17" xfId="0" applyBorder="1">
      <alignment vertical="center"/>
    </xf>
    <xf numFmtId="0" fontId="0" fillId="0" borderId="18" xfId="0" applyBorder="1">
      <alignment vertical="center"/>
    </xf>
    <xf numFmtId="1" fontId="0" fillId="0" borderId="18" xfId="0" applyNumberFormat="1" applyBorder="1">
      <alignment vertical="center"/>
    </xf>
    <xf numFmtId="1" fontId="0" fillId="0" borderId="17" xfId="0" applyNumberFormat="1" applyBorder="1">
      <alignment vertical="center"/>
    </xf>
    <xf numFmtId="0" fontId="6" fillId="7" borderId="1" xfId="0" applyFont="1" applyFill="1" applyBorder="1" applyAlignment="1">
      <alignment horizontal="center" vertical="center" wrapText="1"/>
    </xf>
    <xf numFmtId="38" fontId="4" fillId="0" borderId="0" xfId="1" applyFont="1" applyFill="1" applyBorder="1">
      <alignment vertical="center"/>
    </xf>
    <xf numFmtId="178" fontId="5" fillId="2" borderId="1" xfId="0" applyNumberFormat="1" applyFont="1" applyFill="1" applyBorder="1" applyAlignment="1">
      <alignment horizontal="center" vertical="center" wrapText="1"/>
    </xf>
    <xf numFmtId="178" fontId="0" fillId="6" borderId="1" xfId="2" applyNumberFormat="1" applyFont="1" applyFill="1" applyBorder="1">
      <alignment vertical="center"/>
    </xf>
    <xf numFmtId="178" fontId="0" fillId="0" borderId="0" xfId="0" applyNumberFormat="1">
      <alignment vertical="center"/>
    </xf>
    <xf numFmtId="177" fontId="0" fillId="6" borderId="1" xfId="2" applyNumberFormat="1" applyFont="1" applyFill="1" applyBorder="1">
      <alignment vertical="center"/>
    </xf>
    <xf numFmtId="0" fontId="4" fillId="6" borderId="1" xfId="0" applyFont="1" applyFill="1" applyBorder="1" applyAlignment="1">
      <alignment horizontal="center" vertical="center" wrapText="1"/>
    </xf>
    <xf numFmtId="0" fontId="7" fillId="0" borderId="0" xfId="0" applyFont="1">
      <alignment vertical="center"/>
    </xf>
    <xf numFmtId="0" fontId="8"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6" borderId="1" xfId="0" applyNumberFormat="1" applyFill="1" applyBorder="1" applyAlignment="1">
      <alignment vertical="center" wrapText="1"/>
    </xf>
    <xf numFmtId="49" fontId="0" fillId="0" borderId="0" xfId="0" applyNumberFormat="1" applyAlignment="1">
      <alignment vertical="center" wrapText="1"/>
    </xf>
    <xf numFmtId="10" fontId="0" fillId="0" borderId="9" xfId="2" applyNumberFormat="1" applyFont="1" applyBorder="1">
      <alignment vertical="center"/>
    </xf>
    <xf numFmtId="20" fontId="0" fillId="0" borderId="0" xfId="0" applyNumberForma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8" fillId="0" borderId="0" xfId="0" applyFont="1">
      <alignment vertical="center"/>
    </xf>
    <xf numFmtId="49" fontId="0" fillId="6" borderId="1" xfId="0" applyNumberFormat="1" applyFill="1" applyBorder="1" applyAlignment="1">
      <alignment horizontal="left" vertical="center"/>
    </xf>
    <xf numFmtId="49" fontId="0" fillId="0" borderId="0" xfId="0" applyNumberFormat="1" applyAlignment="1">
      <alignment horizontal="left" vertical="center"/>
    </xf>
    <xf numFmtId="179" fontId="5" fillId="2" borderId="1" xfId="0" applyNumberFormat="1" applyFont="1" applyFill="1" applyBorder="1" applyAlignment="1">
      <alignment horizontal="center" vertical="center" wrapText="1"/>
    </xf>
    <xf numFmtId="179" fontId="0" fillId="6" borderId="1" xfId="0" applyNumberFormat="1" applyFill="1" applyBorder="1">
      <alignment vertical="center"/>
    </xf>
    <xf numFmtId="179" fontId="0" fillId="0" borderId="0" xfId="0" applyNumberFormat="1">
      <alignment vertical="center"/>
    </xf>
    <xf numFmtId="0" fontId="19" fillId="0" borderId="0" xfId="3">
      <alignment vertical="center"/>
    </xf>
    <xf numFmtId="0" fontId="0" fillId="6" borderId="1" xfId="0" applyFill="1" applyBorder="1" applyAlignment="1">
      <alignment horizontal="left" vertical="center"/>
    </xf>
    <xf numFmtId="0" fontId="21" fillId="0" borderId="0" xfId="0" applyFont="1">
      <alignment vertical="center"/>
    </xf>
    <xf numFmtId="3" fontId="22" fillId="7" borderId="1" xfId="0" applyNumberFormat="1" applyFont="1" applyFill="1" applyBorder="1" applyAlignment="1">
      <alignment horizontal="center" vertical="center" wrapText="1"/>
    </xf>
    <xf numFmtId="3" fontId="0" fillId="8" borderId="1" xfId="0" applyNumberFormat="1" applyFill="1" applyBorder="1" applyAlignment="1">
      <alignment horizontal="center" vertical="center"/>
    </xf>
    <xf numFmtId="180" fontId="0" fillId="8" borderId="1" xfId="0" applyNumberFormat="1" applyFill="1" applyBorder="1" applyAlignment="1">
      <alignment horizontal="center" vertical="center"/>
    </xf>
    <xf numFmtId="180" fontId="0" fillId="0" borderId="1" xfId="0" applyNumberFormat="1" applyBorder="1">
      <alignment vertical="center"/>
    </xf>
    <xf numFmtId="180" fontId="0" fillId="0" borderId="0" xfId="0" applyNumberForma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38" fontId="24" fillId="0" borderId="0" xfId="1" applyFont="1" applyFill="1" applyBorder="1" applyAlignment="1">
      <alignment horizontal="center" vertical="center"/>
    </xf>
    <xf numFmtId="0" fontId="25" fillId="0" borderId="0" xfId="0" applyFont="1" applyAlignment="1">
      <alignment horizontal="center" vertical="center"/>
    </xf>
    <xf numFmtId="0" fontId="0" fillId="3" borderId="1" xfId="0" applyFill="1" applyBorder="1" applyAlignment="1">
      <alignment horizontal="center" vertical="center"/>
    </xf>
    <xf numFmtId="0" fontId="0" fillId="0" borderId="1" xfId="0" applyBorder="1" applyAlignment="1">
      <alignment vertical="center" shrinkToFit="1"/>
    </xf>
    <xf numFmtId="177" fontId="0" fillId="0" borderId="1" xfId="0" applyNumberFormat="1" applyBorder="1" applyAlignment="1">
      <alignment vertical="center" shrinkToFit="1"/>
    </xf>
    <xf numFmtId="3" fontId="0" fillId="0" borderId="1" xfId="0" applyNumberFormat="1" applyBorder="1" applyAlignment="1">
      <alignment vertical="center" shrinkToFit="1"/>
    </xf>
    <xf numFmtId="9" fontId="0" fillId="0" borderId="1" xfId="0" applyNumberFormat="1" applyBorder="1" applyAlignment="1">
      <alignment horizontal="right" vertical="center" shrinkToFit="1"/>
    </xf>
    <xf numFmtId="0" fontId="0" fillId="0" borderId="1" xfId="0" applyBorder="1" applyAlignment="1">
      <alignment horizontal="right" vertical="center" shrinkToFit="1"/>
    </xf>
    <xf numFmtId="38" fontId="0" fillId="0" borderId="1" xfId="0" applyNumberFormat="1" applyBorder="1" applyAlignment="1">
      <alignment vertical="center" shrinkToFit="1"/>
    </xf>
    <xf numFmtId="0" fontId="8"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0" fillId="6" borderId="1" xfId="0" applyFill="1" applyBorder="1" applyAlignment="1">
      <alignment vertical="center" shrinkToFit="1"/>
    </xf>
    <xf numFmtId="38" fontId="11" fillId="0" borderId="1" xfId="0" applyNumberFormat="1" applyFont="1" applyBorder="1" applyAlignment="1">
      <alignment vertical="center" shrinkToFit="1"/>
    </xf>
    <xf numFmtId="177" fontId="11" fillId="0" borderId="1" xfId="0" applyNumberFormat="1" applyFont="1" applyBorder="1" applyAlignment="1">
      <alignment vertical="center" shrinkToFit="1"/>
    </xf>
    <xf numFmtId="0" fontId="11" fillId="0" borderId="0" xfId="0" applyFont="1">
      <alignment vertical="center"/>
    </xf>
    <xf numFmtId="0" fontId="26" fillId="0" borderId="0" xfId="0" applyFont="1">
      <alignment vertical="center"/>
    </xf>
    <xf numFmtId="0" fontId="0" fillId="0" borderId="1" xfId="0" applyBorder="1" applyAlignment="1">
      <alignment vertical="center" wrapText="1"/>
    </xf>
    <xf numFmtId="0" fontId="11" fillId="0" borderId="5" xfId="0" applyFont="1" applyBorder="1" applyAlignment="1">
      <alignment horizontal="center" vertical="center"/>
    </xf>
    <xf numFmtId="0" fontId="13" fillId="0" borderId="0" xfId="0" applyFont="1" applyAlignment="1">
      <alignment horizontal="left" vertical="center"/>
    </xf>
  </cellXfs>
  <cellStyles count="4">
    <cellStyle name="パーセント" xfId="2" builtinId="5"/>
    <cellStyle name="ハイパーリンク" xfId="3" builtinId="8"/>
    <cellStyle name="桁区切り" xfId="1" builtinId="6"/>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sharedStrings" Target="sharedStrings.xml"/><Relationship Id="rId25"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24" Type="http://schemas.microsoft.com/office/2017/10/relationships/person" Target="persons/person.xml"/><Relationship Id="rId5" Type="http://schemas.openxmlformats.org/officeDocument/2006/relationships/worksheet" Target="worksheets/sheet5.xml"/><Relationship Id="rId23" Type="http://schemas.microsoft.com/office/2017/06/relationships/rdRichValue" Target="richData/rdrichvalue.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 Id="rId22" Type="http://schemas.microsoft.com/office/2022/10/relationships/richValueRel" Target="richData/richValueRel.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AC7E2-8824-4305-ABD9-501DA913DA32}">
  <sheetPr codeName="Sheet3">
    <tabColor rgb="FFFFC000"/>
  </sheetPr>
  <dimension ref="A1:AQ36"/>
  <sheetViews>
    <sheetView zoomScale="70" zoomScaleNormal="70" workbookViewId="0">
      <pane ySplit="1" topLeftCell="A2" activePane="bottomLeft" state="frozen"/>
      <selection activeCell="J25" sqref="J25"/>
      <selection pane="bottomLeft" activeCell="B12" sqref="B12"/>
    </sheetView>
  </sheetViews>
  <sheetFormatPr defaultRowHeight="18"/>
  <cols>
    <col min="1" max="1" width="23.83203125" style="112" customWidth="1"/>
    <col min="2" max="2" width="58.4140625" style="104" customWidth="1"/>
    <col min="3" max="4" width="8.6640625" customWidth="1"/>
    <col min="5" max="5" width="7.25" customWidth="1"/>
    <col min="6" max="6" width="6.83203125" customWidth="1"/>
    <col min="7" max="7" width="8.5" customWidth="1"/>
    <col min="8" max="8" width="8.33203125" customWidth="1"/>
    <col min="9" max="9" width="8.33203125" style="96" customWidth="1"/>
    <col min="10" max="10" width="16.25" style="99" bestFit="1" customWidth="1"/>
    <col min="11" max="11" width="14.33203125" style="75" customWidth="1"/>
    <col min="12" max="12" width="11.25" customWidth="1"/>
    <col min="13" max="13" width="8" customWidth="1"/>
    <col min="14" max="14" width="9" style="6" customWidth="1"/>
    <col min="15" max="15" width="9.08203125" style="6" customWidth="1"/>
    <col min="16" max="16" width="8.58203125" style="115" customWidth="1"/>
    <col min="17" max="17" width="10.33203125" style="6" customWidth="1"/>
    <col min="18" max="18" width="10" style="7" customWidth="1"/>
    <col min="19" max="19" width="9.5" style="8" customWidth="1"/>
    <col min="20" max="20" width="1.83203125" customWidth="1"/>
    <col min="21" max="21" width="10" customWidth="1"/>
    <col min="22" max="22" width="9.5" customWidth="1"/>
    <col min="23" max="23" width="11.5" customWidth="1"/>
    <col min="24" max="24" width="10.58203125" customWidth="1"/>
    <col min="25" max="25" width="8.75" customWidth="1"/>
    <col min="26" max="26" width="9" customWidth="1"/>
    <col min="27" max="27" width="8.25" customWidth="1"/>
    <col min="28" max="28" width="9.25" customWidth="1"/>
    <col min="29" max="29" width="9.33203125" customWidth="1"/>
    <col min="30" max="30" width="9.25" customWidth="1"/>
    <col min="31" max="31" width="8.75" customWidth="1"/>
    <col min="32" max="32" width="9.5" customWidth="1"/>
    <col min="33" max="33" width="7.75" customWidth="1"/>
    <col min="34" max="34" width="8.5" customWidth="1"/>
    <col min="35" max="35" width="9" customWidth="1"/>
    <col min="36" max="36" width="9.5" customWidth="1"/>
    <col min="37" max="38" width="8.75" style="6" customWidth="1"/>
    <col min="39" max="40" width="9.25" customWidth="1"/>
    <col min="41" max="41" width="9.5" customWidth="1"/>
    <col min="42" max="42" width="10.25" style="123" customWidth="1"/>
    <col min="43" max="43" width="12.75" style="6" customWidth="1"/>
  </cols>
  <sheetData>
    <row r="1" spans="1:43" s="75" customFormat="1" ht="36">
      <c r="A1" s="101" t="s">
        <v>121</v>
      </c>
      <c r="B1" s="102" t="s">
        <v>8</v>
      </c>
      <c r="C1" s="46" t="s">
        <v>126</v>
      </c>
      <c r="D1" s="46" t="s">
        <v>127</v>
      </c>
      <c r="E1" s="83" t="s">
        <v>9</v>
      </c>
      <c r="F1" s="69" t="s">
        <v>10</v>
      </c>
      <c r="G1" s="82" t="s">
        <v>47</v>
      </c>
      <c r="H1" s="82" t="s">
        <v>5</v>
      </c>
      <c r="I1" s="94" t="s">
        <v>117</v>
      </c>
      <c r="J1" s="100" t="s">
        <v>46</v>
      </c>
      <c r="K1" s="82" t="s">
        <v>69</v>
      </c>
      <c r="L1" s="82" t="s">
        <v>123</v>
      </c>
      <c r="M1" s="82" t="s">
        <v>128</v>
      </c>
      <c r="N1" s="86" t="s">
        <v>137</v>
      </c>
      <c r="O1" s="86" t="s">
        <v>138</v>
      </c>
      <c r="P1" s="113" t="s">
        <v>116</v>
      </c>
      <c r="Q1" s="86" t="s">
        <v>115</v>
      </c>
      <c r="R1" s="70" t="s">
        <v>11</v>
      </c>
      <c r="S1" s="71" t="s">
        <v>12</v>
      </c>
      <c r="T1" s="72"/>
      <c r="U1" s="77" t="s">
        <v>114</v>
      </c>
      <c r="V1" s="78" t="s">
        <v>117</v>
      </c>
      <c r="W1" s="78" t="s">
        <v>118</v>
      </c>
      <c r="X1" s="78" t="s">
        <v>113</v>
      </c>
      <c r="Y1" s="73" t="s">
        <v>13</v>
      </c>
      <c r="Z1" s="73" t="s">
        <v>14</v>
      </c>
      <c r="AA1" s="74" t="s">
        <v>6</v>
      </c>
      <c r="AB1" s="79" t="s">
        <v>120</v>
      </c>
      <c r="AC1" s="79" t="s">
        <v>119</v>
      </c>
      <c r="AD1" s="84" t="s">
        <v>122</v>
      </c>
      <c r="AE1" s="80" t="s">
        <v>120</v>
      </c>
      <c r="AF1" s="80" t="s">
        <v>119</v>
      </c>
      <c r="AG1" s="82" t="s">
        <v>129</v>
      </c>
      <c r="AH1" s="82" t="s">
        <v>124</v>
      </c>
      <c r="AI1" s="46" t="s">
        <v>120</v>
      </c>
      <c r="AJ1" s="46" t="s">
        <v>119</v>
      </c>
      <c r="AK1" s="85" t="s">
        <v>15</v>
      </c>
      <c r="AL1" s="119" t="s">
        <v>177</v>
      </c>
      <c r="AM1" s="92" t="s">
        <v>125</v>
      </c>
      <c r="AN1" s="81" t="s">
        <v>120</v>
      </c>
      <c r="AO1" s="81" t="s">
        <v>119</v>
      </c>
      <c r="AP1" s="121" t="s">
        <v>192</v>
      </c>
      <c r="AQ1" s="120" t="s">
        <v>193</v>
      </c>
    </row>
    <row r="2" spans="1:43">
      <c r="A2" s="117"/>
      <c r="B2" s="103"/>
      <c r="C2" s="2"/>
      <c r="D2" s="2"/>
      <c r="E2" s="2"/>
      <c r="F2" s="2"/>
      <c r="G2" s="2"/>
      <c r="H2" s="76"/>
      <c r="I2" s="95"/>
      <c r="J2" s="98"/>
      <c r="K2" s="45"/>
      <c r="L2" s="2"/>
      <c r="M2" s="45"/>
      <c r="N2" s="2"/>
      <c r="O2" s="2"/>
      <c r="P2" s="114"/>
      <c r="Q2" s="1">
        <f>P2*1.1</f>
        <v>0</v>
      </c>
      <c r="R2" s="68" t="e">
        <f>P2/C2</f>
        <v>#DIV/0!</v>
      </c>
      <c r="S2" s="3" t="e">
        <f>C2/D2</f>
        <v>#DIV/0!</v>
      </c>
      <c r="U2" s="4">
        <f>IF(E2=0,C2*1.1,C2)</f>
        <v>0</v>
      </c>
      <c r="V2" s="4">
        <f>ROUNDUP(U2*H2+I2,0)</f>
        <v>0</v>
      </c>
      <c r="W2" s="4">
        <f>U2-V2</f>
        <v>0</v>
      </c>
      <c r="X2" s="4">
        <f>W2/(1+0.1)</f>
        <v>0</v>
      </c>
      <c r="Y2" s="5">
        <f>W2-Q2-((W2-X2)-(Q2-P2))</f>
        <v>0</v>
      </c>
      <c r="Z2" s="3" t="e">
        <f>Y2/$C2</f>
        <v>#DIV/0!</v>
      </c>
      <c r="AA2" s="1">
        <f>IF(J2="送料負担なし",0,IF(F2=1,(VLOOKUP(J2&amp;K2,②送料!$A:$E,3,FALSE)),0))</f>
        <v>0</v>
      </c>
      <c r="AB2" s="5">
        <f>Y2-AA2</f>
        <v>0</v>
      </c>
      <c r="AC2" s="3" t="e">
        <f>AB2/$X2</f>
        <v>#DIV/0!</v>
      </c>
      <c r="AD2" s="1">
        <f>IF(AND(G2&lt;&gt;"",G2&gt;0),ROUNDUP((G2-1)*0.01*X2,0),0)</f>
        <v>0</v>
      </c>
      <c r="AE2" s="5">
        <f>AB2-AD2</f>
        <v>0</v>
      </c>
      <c r="AF2" s="3" t="e">
        <f>AE2/$X2</f>
        <v>#DIV/0!</v>
      </c>
      <c r="AG2" s="1">
        <f>L2</f>
        <v>0</v>
      </c>
      <c r="AH2" s="1">
        <f>IF(M2="有",IF(AND(N2&lt;&gt;"",O2&lt;&gt;"",J2="RSL"),ROUNDUP(N2*7.5/1000*O2/30,0),ROUNDUP(C2*①店舗情報!$B$11,0)),0)</f>
        <v>0</v>
      </c>
      <c r="AI2" s="5">
        <f>AE2-AG2-AH2</f>
        <v>0</v>
      </c>
      <c r="AJ2" s="3" t="e">
        <f>AI2/$X2</f>
        <v>#DIV/0!</v>
      </c>
      <c r="AK2" s="5">
        <f ca="1">ROUNDUP(W2*①店舗情報!$B$23,0)</f>
        <v>0</v>
      </c>
      <c r="AL2" s="5">
        <f>IFERROR(VLOOKUP(A2,③RPP!D:Z,23,FALSE),0)</f>
        <v>0</v>
      </c>
      <c r="AM2" s="1">
        <f>IF(OR(H2&gt;0,I2&gt;0),50,0)</f>
        <v>0</v>
      </c>
      <c r="AN2" s="5">
        <f ca="1">AI2-AK2-AL2-AM2</f>
        <v>0</v>
      </c>
      <c r="AO2" s="3" t="e">
        <f ca="1">AN2/$X2</f>
        <v>#DIV/0!</v>
      </c>
      <c r="AP2" s="122" t="e">
        <f>VLOOKUP(A2,④商品別売上データ!B:E,4,FALSE)</f>
        <v>#N/A</v>
      </c>
      <c r="AQ2" s="5" t="e">
        <f ca="1">AN2*AP2</f>
        <v>#N/A</v>
      </c>
    </row>
    <row r="3" spans="1:43">
      <c r="A3" s="117"/>
      <c r="B3" s="103"/>
      <c r="C3" s="2"/>
      <c r="D3" s="2"/>
      <c r="E3" s="2"/>
      <c r="F3" s="2"/>
      <c r="G3" s="2"/>
      <c r="H3" s="76"/>
      <c r="I3" s="95"/>
      <c r="J3" s="98"/>
      <c r="K3" s="45"/>
      <c r="L3" s="2"/>
      <c r="M3" s="45"/>
      <c r="N3" s="2"/>
      <c r="O3" s="2"/>
      <c r="P3" s="114"/>
      <c r="Q3" s="1">
        <f t="shared" ref="Q3:Q36" si="0">P3*1.1</f>
        <v>0</v>
      </c>
      <c r="R3" s="68" t="e">
        <f t="shared" ref="R3:R10" si="1">P3/C3</f>
        <v>#DIV/0!</v>
      </c>
      <c r="S3" s="3" t="e">
        <f>C3/D3</f>
        <v>#DIV/0!</v>
      </c>
      <c r="U3" s="4">
        <f t="shared" ref="U3:U10" si="2">IF(E3=0,C3*1.1,C3)</f>
        <v>0</v>
      </c>
      <c r="V3" s="4">
        <f t="shared" ref="V3:V10" si="3">ROUNDUP(U3*H3+I3,0)</f>
        <v>0</v>
      </c>
      <c r="W3" s="4">
        <f t="shared" ref="W3:W10" si="4">U3-V3</f>
        <v>0</v>
      </c>
      <c r="X3" s="4">
        <f t="shared" ref="X3:X36" si="5">W3/(1+0.1)</f>
        <v>0</v>
      </c>
      <c r="Y3" s="5">
        <f t="shared" ref="Y3:Y10" si="6">W3-Q3-((W3-X3)-(Q3-P3))</f>
        <v>0</v>
      </c>
      <c r="Z3" s="3" t="e">
        <f t="shared" ref="Z3:Z36" si="7">Y3/$C3</f>
        <v>#DIV/0!</v>
      </c>
      <c r="AA3" s="1">
        <f>IF(J3="送料負担なし",0,IF(F3=1,(VLOOKUP(J3&amp;K3,②送料!$A:$E,3,FALSE)),0))</f>
        <v>0</v>
      </c>
      <c r="AB3" s="5">
        <f t="shared" ref="AB3:AB10" si="8">Y3-AA3</f>
        <v>0</v>
      </c>
      <c r="AC3" s="3" t="e">
        <f t="shared" ref="AC3:AC36" si="9">AB3/$X3</f>
        <v>#DIV/0!</v>
      </c>
      <c r="AD3" s="1">
        <f t="shared" ref="AD3:AD10" si="10">IF(AND(G3&lt;&gt;"",G3&gt;0),ROUNDUP((G3-1)*0.01*X3,0),0)</f>
        <v>0</v>
      </c>
      <c r="AE3" s="5">
        <f t="shared" ref="AE3:AE10" si="11">AB3-AD3</f>
        <v>0</v>
      </c>
      <c r="AF3" s="3" t="e">
        <f t="shared" ref="AF3:AF36" si="12">AE3/$X3</f>
        <v>#DIV/0!</v>
      </c>
      <c r="AG3" s="1">
        <f t="shared" ref="AG3:AG10" si="13">L3</f>
        <v>0</v>
      </c>
      <c r="AH3" s="1">
        <f>IF(M3="有",IF(AND(N3&lt;&gt;"",O3&lt;&gt;"",J3="RSL"),ROUNDUP(N3*7.5/1000*O3/30,0),ROUNDUP(C3*①店舗情報!$B$11,0)),0)</f>
        <v>0</v>
      </c>
      <c r="AI3" s="5">
        <f t="shared" ref="AI3:AI10" si="14">AE3-AG3-AH3</f>
        <v>0</v>
      </c>
      <c r="AJ3" s="3" t="e">
        <f t="shared" ref="AJ3:AJ36" si="15">AI3/$X3</f>
        <v>#DIV/0!</v>
      </c>
      <c r="AK3" s="5">
        <f ca="1">ROUNDUP(W3*①店舗情報!$B$23,0)</f>
        <v>0</v>
      </c>
      <c r="AL3" s="5">
        <f>IFERROR(VLOOKUP(A3,③RPP!D:Z,23,FALSE),0)</f>
        <v>0</v>
      </c>
      <c r="AM3" s="1">
        <f t="shared" ref="AM3:AM10" si="16">IF(OR(H3&gt;0,I3&gt;0),50,0)</f>
        <v>0</v>
      </c>
      <c r="AN3" s="5">
        <f t="shared" ref="AN3:AN4" ca="1" si="17">AE3-AK3-AL3-AM3</f>
        <v>0</v>
      </c>
      <c r="AO3" s="3" t="e">
        <f t="shared" ref="AO3:AO36" ca="1" si="18">AN3/$X3</f>
        <v>#DIV/0!</v>
      </c>
      <c r="AP3" s="122" t="e">
        <f>VLOOKUP(A3,④商品別売上データ!B:E,4,FALSE)</f>
        <v>#N/A</v>
      </c>
      <c r="AQ3" s="5" t="e">
        <f t="shared" ref="AQ3:AQ36" ca="1" si="19">AN3*AP3</f>
        <v>#N/A</v>
      </c>
    </row>
    <row r="4" spans="1:43">
      <c r="A4" s="117"/>
      <c r="B4" s="103"/>
      <c r="C4" s="2"/>
      <c r="D4" s="2"/>
      <c r="E4" s="2"/>
      <c r="F4" s="2"/>
      <c r="G4" s="2"/>
      <c r="H4" s="76"/>
      <c r="I4" s="95"/>
      <c r="J4" s="98"/>
      <c r="K4" s="45"/>
      <c r="L4" s="2"/>
      <c r="M4" s="45"/>
      <c r="N4" s="2"/>
      <c r="O4" s="2"/>
      <c r="P4" s="114"/>
      <c r="Q4" s="1">
        <f t="shared" si="0"/>
        <v>0</v>
      </c>
      <c r="R4" s="68" t="e">
        <f t="shared" si="1"/>
        <v>#DIV/0!</v>
      </c>
      <c r="S4" s="3" t="e">
        <f t="shared" ref="S4:S10" si="20">C4/D4</f>
        <v>#DIV/0!</v>
      </c>
      <c r="U4" s="4">
        <f t="shared" si="2"/>
        <v>0</v>
      </c>
      <c r="V4" s="4">
        <f t="shared" si="3"/>
        <v>0</v>
      </c>
      <c r="W4" s="4">
        <f t="shared" si="4"/>
        <v>0</v>
      </c>
      <c r="X4" s="4">
        <f t="shared" si="5"/>
        <v>0</v>
      </c>
      <c r="Y4" s="5">
        <f t="shared" si="6"/>
        <v>0</v>
      </c>
      <c r="Z4" s="3" t="e">
        <f t="shared" si="7"/>
        <v>#DIV/0!</v>
      </c>
      <c r="AA4" s="1">
        <f>IF(J4="送料負担なし",0,IF(F4=1,(VLOOKUP(J4&amp;K4,②送料!$A:$E,3,FALSE)),0))</f>
        <v>0</v>
      </c>
      <c r="AB4" s="5">
        <f t="shared" si="8"/>
        <v>0</v>
      </c>
      <c r="AC4" s="3" t="e">
        <f t="shared" si="9"/>
        <v>#DIV/0!</v>
      </c>
      <c r="AD4" s="1">
        <f t="shared" si="10"/>
        <v>0</v>
      </c>
      <c r="AE4" s="5">
        <f t="shared" si="11"/>
        <v>0</v>
      </c>
      <c r="AF4" s="3" t="e">
        <f t="shared" si="12"/>
        <v>#DIV/0!</v>
      </c>
      <c r="AG4" s="1">
        <f t="shared" si="13"/>
        <v>0</v>
      </c>
      <c r="AH4" s="1">
        <f>IF(M4="有",IF(AND(N4&lt;&gt;"",O4&lt;&gt;"",J4="RSL"),ROUNDUP(N4*7.5/1000*O4/30,0),ROUNDUP(C4*①店舗情報!$B$11,0)),0)</f>
        <v>0</v>
      </c>
      <c r="AI4" s="5">
        <f t="shared" si="14"/>
        <v>0</v>
      </c>
      <c r="AJ4" s="3" t="e">
        <f t="shared" si="15"/>
        <v>#DIV/0!</v>
      </c>
      <c r="AK4" s="5">
        <f ca="1">ROUNDUP(W4*①店舗情報!$B$23,0)</f>
        <v>0</v>
      </c>
      <c r="AL4" s="5">
        <f>IFERROR(VLOOKUP(A4,③RPP!D:Z,23,FALSE),0)</f>
        <v>0</v>
      </c>
      <c r="AM4" s="1">
        <f t="shared" si="16"/>
        <v>0</v>
      </c>
      <c r="AN4" s="5">
        <f t="shared" ca="1" si="17"/>
        <v>0</v>
      </c>
      <c r="AO4" s="3" t="e">
        <f t="shared" ca="1" si="18"/>
        <v>#DIV/0!</v>
      </c>
      <c r="AP4" s="122" t="e">
        <f>VLOOKUP(A4,④商品別売上データ!B:E,4,FALSE)</f>
        <v>#N/A</v>
      </c>
      <c r="AQ4" s="5" t="e">
        <f t="shared" ca="1" si="19"/>
        <v>#N/A</v>
      </c>
    </row>
    <row r="5" spans="1:43">
      <c r="A5" s="117"/>
      <c r="B5" s="103"/>
      <c r="C5" s="2"/>
      <c r="D5" s="2"/>
      <c r="E5" s="2"/>
      <c r="F5" s="2"/>
      <c r="G5" s="2"/>
      <c r="H5" s="76"/>
      <c r="I5" s="95"/>
      <c r="J5" s="98"/>
      <c r="K5" s="45"/>
      <c r="L5" s="2"/>
      <c r="M5" s="45"/>
      <c r="N5" s="2"/>
      <c r="O5" s="2"/>
      <c r="P5" s="114"/>
      <c r="Q5" s="1">
        <f t="shared" si="0"/>
        <v>0</v>
      </c>
      <c r="R5" s="68" t="e">
        <f t="shared" si="1"/>
        <v>#DIV/0!</v>
      </c>
      <c r="S5" s="3" t="e">
        <f t="shared" si="20"/>
        <v>#DIV/0!</v>
      </c>
      <c r="U5" s="4">
        <f t="shared" si="2"/>
        <v>0</v>
      </c>
      <c r="V5" s="4">
        <f t="shared" si="3"/>
        <v>0</v>
      </c>
      <c r="W5" s="4">
        <f t="shared" si="4"/>
        <v>0</v>
      </c>
      <c r="X5" s="4">
        <f t="shared" si="5"/>
        <v>0</v>
      </c>
      <c r="Y5" s="5">
        <f t="shared" si="6"/>
        <v>0</v>
      </c>
      <c r="Z5" s="3" t="e">
        <f t="shared" si="7"/>
        <v>#DIV/0!</v>
      </c>
      <c r="AA5" s="1">
        <f>IF(J5="送料負担なし",0,IF(F5=1,(VLOOKUP(J5&amp;K5,②送料!$A:$E,3,FALSE)),0))</f>
        <v>0</v>
      </c>
      <c r="AB5" s="5">
        <f t="shared" si="8"/>
        <v>0</v>
      </c>
      <c r="AC5" s="3" t="e">
        <f t="shared" si="9"/>
        <v>#DIV/0!</v>
      </c>
      <c r="AD5" s="1">
        <f t="shared" si="10"/>
        <v>0</v>
      </c>
      <c r="AE5" s="5">
        <f t="shared" si="11"/>
        <v>0</v>
      </c>
      <c r="AF5" s="3" t="e">
        <f t="shared" si="12"/>
        <v>#DIV/0!</v>
      </c>
      <c r="AG5" s="1">
        <f t="shared" si="13"/>
        <v>0</v>
      </c>
      <c r="AH5" s="1">
        <f>IF(M5="有",IF(AND(N5&lt;&gt;"",O5&lt;&gt;"",J5="RSL"),ROUNDUP(N5*7.5/1000*O5/30,0),ROUNDUP(C5*①店舗情報!$B$11,0)),0)</f>
        <v>0</v>
      </c>
      <c r="AI5" s="5">
        <f t="shared" si="14"/>
        <v>0</v>
      </c>
      <c r="AJ5" s="3" t="e">
        <f t="shared" si="15"/>
        <v>#DIV/0!</v>
      </c>
      <c r="AK5" s="5">
        <f ca="1">ROUNDUP(W5*①店舗情報!$B$23,0)</f>
        <v>0</v>
      </c>
      <c r="AL5" s="5">
        <f>IFERROR(VLOOKUP(A5,③RPP!D:Z,23,FALSE),0)</f>
        <v>0</v>
      </c>
      <c r="AM5" s="1">
        <f t="shared" si="16"/>
        <v>0</v>
      </c>
      <c r="AN5" s="5">
        <f t="shared" ref="AN5" ca="1" si="21">AE5-AK5-AL5-AM5</f>
        <v>0</v>
      </c>
      <c r="AO5" s="3" t="e">
        <f t="shared" ca="1" si="18"/>
        <v>#DIV/0!</v>
      </c>
      <c r="AP5" s="122" t="e">
        <f>VLOOKUP(A5,④商品別売上データ!B:E,4,FALSE)</f>
        <v>#N/A</v>
      </c>
      <c r="AQ5" s="5" t="e">
        <f t="shared" ca="1" si="19"/>
        <v>#N/A</v>
      </c>
    </row>
    <row r="6" spans="1:43">
      <c r="A6" s="117"/>
      <c r="B6" s="103"/>
      <c r="C6" s="2"/>
      <c r="D6" s="2"/>
      <c r="E6" s="2"/>
      <c r="F6" s="2"/>
      <c r="G6" s="2"/>
      <c r="H6" s="76"/>
      <c r="I6" s="95"/>
      <c r="J6" s="98"/>
      <c r="K6" s="45"/>
      <c r="L6" s="2"/>
      <c r="M6" s="45"/>
      <c r="N6" s="2"/>
      <c r="O6" s="2"/>
      <c r="P6" s="114"/>
      <c r="Q6" s="1">
        <f t="shared" si="0"/>
        <v>0</v>
      </c>
      <c r="R6" s="68" t="e">
        <f t="shared" si="1"/>
        <v>#DIV/0!</v>
      </c>
      <c r="S6" s="3" t="e">
        <f t="shared" si="20"/>
        <v>#DIV/0!</v>
      </c>
      <c r="U6" s="4">
        <f t="shared" si="2"/>
        <v>0</v>
      </c>
      <c r="V6" s="4">
        <f t="shared" si="3"/>
        <v>0</v>
      </c>
      <c r="W6" s="4">
        <f t="shared" si="4"/>
        <v>0</v>
      </c>
      <c r="X6" s="4">
        <f t="shared" si="5"/>
        <v>0</v>
      </c>
      <c r="Y6" s="5">
        <f t="shared" si="6"/>
        <v>0</v>
      </c>
      <c r="Z6" s="3" t="e">
        <f t="shared" si="7"/>
        <v>#DIV/0!</v>
      </c>
      <c r="AA6" s="1">
        <f>IF(J6="送料負担なし",0,IF(F6=1,(VLOOKUP(J6&amp;K6,②送料!$A:$E,3,FALSE)),0))</f>
        <v>0</v>
      </c>
      <c r="AB6" s="5">
        <f t="shared" si="8"/>
        <v>0</v>
      </c>
      <c r="AC6" s="3" t="e">
        <f t="shared" si="9"/>
        <v>#DIV/0!</v>
      </c>
      <c r="AD6" s="1">
        <f t="shared" si="10"/>
        <v>0</v>
      </c>
      <c r="AE6" s="5">
        <f t="shared" si="11"/>
        <v>0</v>
      </c>
      <c r="AF6" s="3" t="e">
        <f t="shared" si="12"/>
        <v>#DIV/0!</v>
      </c>
      <c r="AG6" s="1">
        <f t="shared" si="13"/>
        <v>0</v>
      </c>
      <c r="AH6" s="1">
        <f>IF(M6="有",IF(AND(N6&lt;&gt;"",O6&lt;&gt;"",J6="RSL"),ROUNDUP(N6*7.5/1000*O6/30,0),ROUNDUP(C6*①店舗情報!$B$11,0)),0)</f>
        <v>0</v>
      </c>
      <c r="AI6" s="5">
        <f t="shared" si="14"/>
        <v>0</v>
      </c>
      <c r="AJ6" s="3" t="e">
        <f t="shared" si="15"/>
        <v>#DIV/0!</v>
      </c>
      <c r="AK6" s="5">
        <f ca="1">ROUNDUP(W6*①店舗情報!$B$23,0)</f>
        <v>0</v>
      </c>
      <c r="AL6" s="5">
        <f>IFERROR(VLOOKUP(A6,③RPP!D:Z,23,FALSE),0)</f>
        <v>0</v>
      </c>
      <c r="AM6" s="1">
        <f t="shared" si="16"/>
        <v>0</v>
      </c>
      <c r="AN6" s="5">
        <f t="shared" ref="AN6" ca="1" si="22">AE6-AK6-AL6-AM6</f>
        <v>0</v>
      </c>
      <c r="AO6" s="3" t="e">
        <f t="shared" ca="1" si="18"/>
        <v>#DIV/0!</v>
      </c>
      <c r="AP6" s="122" t="e">
        <f>VLOOKUP(A6,④商品別売上データ!B:E,4,FALSE)</f>
        <v>#N/A</v>
      </c>
      <c r="AQ6" s="5" t="e">
        <f t="shared" ca="1" si="19"/>
        <v>#N/A</v>
      </c>
    </row>
    <row r="7" spans="1:43">
      <c r="A7" s="117"/>
      <c r="B7" s="103"/>
      <c r="C7" s="2"/>
      <c r="D7" s="2"/>
      <c r="E7" s="2"/>
      <c r="F7" s="2"/>
      <c r="G7" s="2"/>
      <c r="H7" s="76"/>
      <c r="I7" s="95"/>
      <c r="J7" s="98"/>
      <c r="K7" s="45"/>
      <c r="L7" s="2"/>
      <c r="M7" s="45"/>
      <c r="N7" s="2"/>
      <c r="O7" s="2"/>
      <c r="P7" s="114"/>
      <c r="Q7" s="1">
        <f t="shared" si="0"/>
        <v>0</v>
      </c>
      <c r="R7" s="68" t="e">
        <f t="shared" si="1"/>
        <v>#DIV/0!</v>
      </c>
      <c r="S7" s="3" t="e">
        <f t="shared" si="20"/>
        <v>#DIV/0!</v>
      </c>
      <c r="U7" s="4">
        <f t="shared" si="2"/>
        <v>0</v>
      </c>
      <c r="V7" s="4">
        <f t="shared" si="3"/>
        <v>0</v>
      </c>
      <c r="W7" s="4">
        <f t="shared" si="4"/>
        <v>0</v>
      </c>
      <c r="X7" s="4">
        <f t="shared" si="5"/>
        <v>0</v>
      </c>
      <c r="Y7" s="5">
        <f t="shared" si="6"/>
        <v>0</v>
      </c>
      <c r="Z7" s="3" t="e">
        <f t="shared" si="7"/>
        <v>#DIV/0!</v>
      </c>
      <c r="AA7" s="1">
        <f>IF(J7="送料負担なし",0,IF(F7=1,(VLOOKUP(J7&amp;K7,②送料!$A:$E,3,FALSE)),0))</f>
        <v>0</v>
      </c>
      <c r="AB7" s="5">
        <f t="shared" si="8"/>
        <v>0</v>
      </c>
      <c r="AC7" s="3" t="e">
        <f t="shared" si="9"/>
        <v>#DIV/0!</v>
      </c>
      <c r="AD7" s="1">
        <f t="shared" si="10"/>
        <v>0</v>
      </c>
      <c r="AE7" s="5">
        <f t="shared" si="11"/>
        <v>0</v>
      </c>
      <c r="AF7" s="3" t="e">
        <f t="shared" si="12"/>
        <v>#DIV/0!</v>
      </c>
      <c r="AG7" s="1">
        <f t="shared" si="13"/>
        <v>0</v>
      </c>
      <c r="AH7" s="1">
        <f>IF(M7="有",IF(AND(N7&lt;&gt;"",O7&lt;&gt;"",J7="RSL"),ROUNDUP(N7*7.5/1000*O7/30,0),ROUNDUP(C7*①店舗情報!$B$11,0)),0)</f>
        <v>0</v>
      </c>
      <c r="AI7" s="5">
        <f t="shared" si="14"/>
        <v>0</v>
      </c>
      <c r="AJ7" s="3" t="e">
        <f t="shared" si="15"/>
        <v>#DIV/0!</v>
      </c>
      <c r="AK7" s="5">
        <f ca="1">ROUNDUP(W7*①店舗情報!$B$23,0)</f>
        <v>0</v>
      </c>
      <c r="AL7" s="5">
        <f>IFERROR(VLOOKUP(A7,③RPP!D:Z,23,FALSE),0)</f>
        <v>0</v>
      </c>
      <c r="AM7" s="1">
        <f t="shared" si="16"/>
        <v>0</v>
      </c>
      <c r="AN7" s="5">
        <f t="shared" ref="AN7:AN8" ca="1" si="23">AE7-AK7-AL7-AM7</f>
        <v>0</v>
      </c>
      <c r="AO7" s="3" t="e">
        <f t="shared" ca="1" si="18"/>
        <v>#DIV/0!</v>
      </c>
      <c r="AP7" s="122" t="e">
        <f>VLOOKUP(A7,④商品別売上データ!B:E,4,FALSE)</f>
        <v>#N/A</v>
      </c>
      <c r="AQ7" s="5" t="e">
        <f t="shared" ca="1" si="19"/>
        <v>#N/A</v>
      </c>
    </row>
    <row r="8" spans="1:43">
      <c r="A8" s="117"/>
      <c r="B8" s="103"/>
      <c r="C8" s="2"/>
      <c r="D8" s="2"/>
      <c r="E8" s="2"/>
      <c r="F8" s="2"/>
      <c r="G8" s="2"/>
      <c r="H8" s="76"/>
      <c r="I8" s="95"/>
      <c r="J8" s="98"/>
      <c r="K8" s="45"/>
      <c r="L8" s="2"/>
      <c r="M8" s="45"/>
      <c r="N8" s="2"/>
      <c r="O8" s="2"/>
      <c r="P8" s="114"/>
      <c r="Q8" s="1">
        <f t="shared" si="0"/>
        <v>0</v>
      </c>
      <c r="R8" s="68" t="e">
        <f t="shared" si="1"/>
        <v>#DIV/0!</v>
      </c>
      <c r="S8" s="3" t="e">
        <f t="shared" si="20"/>
        <v>#DIV/0!</v>
      </c>
      <c r="U8" s="4">
        <f t="shared" si="2"/>
        <v>0</v>
      </c>
      <c r="V8" s="4">
        <f t="shared" si="3"/>
        <v>0</v>
      </c>
      <c r="W8" s="4">
        <f t="shared" si="4"/>
        <v>0</v>
      </c>
      <c r="X8" s="4">
        <f t="shared" si="5"/>
        <v>0</v>
      </c>
      <c r="Y8" s="5">
        <f t="shared" si="6"/>
        <v>0</v>
      </c>
      <c r="Z8" s="3" t="e">
        <f t="shared" si="7"/>
        <v>#DIV/0!</v>
      </c>
      <c r="AA8" s="1">
        <f>IF(J8="送料負担なし",0,IF(F8=1,(VLOOKUP(J8&amp;K8,②送料!$A:$E,3,FALSE)),0))</f>
        <v>0</v>
      </c>
      <c r="AB8" s="5">
        <f t="shared" si="8"/>
        <v>0</v>
      </c>
      <c r="AC8" s="3" t="e">
        <f t="shared" si="9"/>
        <v>#DIV/0!</v>
      </c>
      <c r="AD8" s="1">
        <f t="shared" si="10"/>
        <v>0</v>
      </c>
      <c r="AE8" s="5">
        <f t="shared" si="11"/>
        <v>0</v>
      </c>
      <c r="AF8" s="3" t="e">
        <f t="shared" si="12"/>
        <v>#DIV/0!</v>
      </c>
      <c r="AG8" s="1">
        <f t="shared" si="13"/>
        <v>0</v>
      </c>
      <c r="AH8" s="1">
        <f>IF(M8="有",IF(AND(N8&lt;&gt;"",O8&lt;&gt;"",J8="RSL"),ROUNDUP(N8*7.5/1000*O8/30,0),ROUNDUP(C8*①店舗情報!$B$11,0)),0)</f>
        <v>0</v>
      </c>
      <c r="AI8" s="5">
        <f t="shared" si="14"/>
        <v>0</v>
      </c>
      <c r="AJ8" s="3" t="e">
        <f t="shared" si="15"/>
        <v>#DIV/0!</v>
      </c>
      <c r="AK8" s="5">
        <f ca="1">ROUNDUP(W8*①店舗情報!$B$23,0)</f>
        <v>0</v>
      </c>
      <c r="AL8" s="5">
        <f>IFERROR(VLOOKUP(A8,③RPP!D:Z,23,FALSE),0)</f>
        <v>0</v>
      </c>
      <c r="AM8" s="1">
        <f t="shared" si="16"/>
        <v>0</v>
      </c>
      <c r="AN8" s="5">
        <f t="shared" ca="1" si="23"/>
        <v>0</v>
      </c>
      <c r="AO8" s="3" t="e">
        <f t="shared" ca="1" si="18"/>
        <v>#DIV/0!</v>
      </c>
      <c r="AP8" s="122" t="e">
        <f>VLOOKUP(A8,④商品別売上データ!B:E,4,FALSE)</f>
        <v>#N/A</v>
      </c>
      <c r="AQ8" s="5" t="e">
        <f t="shared" ca="1" si="19"/>
        <v>#N/A</v>
      </c>
    </row>
    <row r="9" spans="1:43">
      <c r="A9" s="117"/>
      <c r="B9" s="103"/>
      <c r="C9" s="2"/>
      <c r="D9" s="2"/>
      <c r="E9" s="2"/>
      <c r="F9" s="2"/>
      <c r="G9" s="2"/>
      <c r="H9" s="76"/>
      <c r="I9" s="95"/>
      <c r="J9" s="98"/>
      <c r="K9" s="45"/>
      <c r="L9" s="2"/>
      <c r="M9" s="45"/>
      <c r="N9" s="2"/>
      <c r="O9" s="2"/>
      <c r="P9" s="114"/>
      <c r="Q9" s="1">
        <f t="shared" si="0"/>
        <v>0</v>
      </c>
      <c r="R9" s="68" t="e">
        <f t="shared" si="1"/>
        <v>#DIV/0!</v>
      </c>
      <c r="S9" s="3" t="e">
        <f t="shared" si="20"/>
        <v>#DIV/0!</v>
      </c>
      <c r="U9" s="4">
        <f t="shared" si="2"/>
        <v>0</v>
      </c>
      <c r="V9" s="4">
        <f t="shared" si="3"/>
        <v>0</v>
      </c>
      <c r="W9" s="4">
        <f t="shared" si="4"/>
        <v>0</v>
      </c>
      <c r="X9" s="4">
        <f t="shared" si="5"/>
        <v>0</v>
      </c>
      <c r="Y9" s="5">
        <f t="shared" si="6"/>
        <v>0</v>
      </c>
      <c r="Z9" s="3" t="e">
        <f t="shared" si="7"/>
        <v>#DIV/0!</v>
      </c>
      <c r="AA9" s="1">
        <f>IF(J9="送料負担なし",0,IF(F9=1,(VLOOKUP(J9&amp;K9,②送料!$A:$E,3,FALSE)),0))</f>
        <v>0</v>
      </c>
      <c r="AB9" s="5">
        <f t="shared" si="8"/>
        <v>0</v>
      </c>
      <c r="AC9" s="3" t="e">
        <f t="shared" si="9"/>
        <v>#DIV/0!</v>
      </c>
      <c r="AD9" s="1">
        <f t="shared" si="10"/>
        <v>0</v>
      </c>
      <c r="AE9" s="5">
        <f t="shared" si="11"/>
        <v>0</v>
      </c>
      <c r="AF9" s="3" t="e">
        <f t="shared" si="12"/>
        <v>#DIV/0!</v>
      </c>
      <c r="AG9" s="1">
        <f t="shared" si="13"/>
        <v>0</v>
      </c>
      <c r="AH9" s="1">
        <f>IF(M9="有",IF(AND(N9&lt;&gt;"",O9&lt;&gt;"",J9="RSL"),ROUNDUP(N9*7.5/1000*O9/30,0),ROUNDUP(C9*①店舗情報!$B$11,0)),0)</f>
        <v>0</v>
      </c>
      <c r="AI9" s="5">
        <f t="shared" si="14"/>
        <v>0</v>
      </c>
      <c r="AJ9" s="3" t="e">
        <f t="shared" si="15"/>
        <v>#DIV/0!</v>
      </c>
      <c r="AK9" s="5">
        <f ca="1">ROUNDUP(W9*①店舗情報!$B$23,0)</f>
        <v>0</v>
      </c>
      <c r="AL9" s="5">
        <f>IFERROR(VLOOKUP(A9,③RPP!D:Z,23,FALSE),0)</f>
        <v>0</v>
      </c>
      <c r="AM9" s="1">
        <f t="shared" si="16"/>
        <v>0</v>
      </c>
      <c r="AN9" s="5">
        <f t="shared" ref="AN9" ca="1" si="24">AE9-AK9-AL9-AM9</f>
        <v>0</v>
      </c>
      <c r="AO9" s="3" t="e">
        <f t="shared" ca="1" si="18"/>
        <v>#DIV/0!</v>
      </c>
      <c r="AP9" s="122" t="e">
        <f>VLOOKUP(A9,④商品別売上データ!B:E,4,FALSE)</f>
        <v>#N/A</v>
      </c>
      <c r="AQ9" s="5" t="e">
        <f t="shared" ca="1" si="19"/>
        <v>#N/A</v>
      </c>
    </row>
    <row r="10" spans="1:43">
      <c r="A10" s="117"/>
      <c r="B10" s="103"/>
      <c r="C10" s="2"/>
      <c r="D10" s="2"/>
      <c r="E10" s="2"/>
      <c r="F10" s="2"/>
      <c r="G10" s="2"/>
      <c r="H10" s="76"/>
      <c r="I10" s="95"/>
      <c r="J10" s="98"/>
      <c r="K10" s="45"/>
      <c r="L10" s="2"/>
      <c r="M10" s="45"/>
      <c r="N10" s="2"/>
      <c r="O10" s="2"/>
      <c r="P10" s="114"/>
      <c r="Q10" s="1">
        <f t="shared" si="0"/>
        <v>0</v>
      </c>
      <c r="R10" s="68" t="e">
        <f t="shared" si="1"/>
        <v>#DIV/0!</v>
      </c>
      <c r="S10" s="3" t="e">
        <f t="shared" si="20"/>
        <v>#DIV/0!</v>
      </c>
      <c r="U10" s="4">
        <f t="shared" si="2"/>
        <v>0</v>
      </c>
      <c r="V10" s="4">
        <f t="shared" si="3"/>
        <v>0</v>
      </c>
      <c r="W10" s="4">
        <f t="shared" si="4"/>
        <v>0</v>
      </c>
      <c r="X10" s="4">
        <f t="shared" si="5"/>
        <v>0</v>
      </c>
      <c r="Y10" s="5">
        <f t="shared" si="6"/>
        <v>0</v>
      </c>
      <c r="Z10" s="3" t="e">
        <f t="shared" si="7"/>
        <v>#DIV/0!</v>
      </c>
      <c r="AA10" s="1">
        <f>IF(J10="送料負担なし",0,IF(F10=1,(VLOOKUP(J10&amp;K10,②送料!$A:$E,3,FALSE)),0))</f>
        <v>0</v>
      </c>
      <c r="AB10" s="5">
        <f t="shared" si="8"/>
        <v>0</v>
      </c>
      <c r="AC10" s="3" t="e">
        <f t="shared" si="9"/>
        <v>#DIV/0!</v>
      </c>
      <c r="AD10" s="1">
        <f t="shared" si="10"/>
        <v>0</v>
      </c>
      <c r="AE10" s="5">
        <f t="shared" si="11"/>
        <v>0</v>
      </c>
      <c r="AF10" s="3" t="e">
        <f t="shared" si="12"/>
        <v>#DIV/0!</v>
      </c>
      <c r="AG10" s="1">
        <f t="shared" si="13"/>
        <v>0</v>
      </c>
      <c r="AH10" s="1">
        <f>IF(M10="有",IF(AND(N10&lt;&gt;"",O10&lt;&gt;"",J10="RSL"),ROUNDUP(N10*7.5/1000*O10/30,0),ROUNDUP(C10*①店舗情報!$B$11,0)),0)</f>
        <v>0</v>
      </c>
      <c r="AI10" s="5">
        <f t="shared" si="14"/>
        <v>0</v>
      </c>
      <c r="AJ10" s="3" t="e">
        <f t="shared" si="15"/>
        <v>#DIV/0!</v>
      </c>
      <c r="AK10" s="5">
        <f ca="1">ROUNDUP(W10*①店舗情報!$B$23,0)</f>
        <v>0</v>
      </c>
      <c r="AL10" s="5">
        <f>IFERROR(VLOOKUP(A10,③RPP!D:Z,23,FALSE),0)</f>
        <v>0</v>
      </c>
      <c r="AM10" s="1">
        <f t="shared" si="16"/>
        <v>0</v>
      </c>
      <c r="AN10" s="5">
        <f t="shared" ref="AN10" ca="1" si="25">AE10-AK10-AL10-AM10</f>
        <v>0</v>
      </c>
      <c r="AO10" s="3" t="e">
        <f t="shared" ca="1" si="18"/>
        <v>#DIV/0!</v>
      </c>
      <c r="AP10" s="122" t="e">
        <f>VLOOKUP(A10,④商品別売上データ!B:E,4,FALSE)</f>
        <v>#N/A</v>
      </c>
      <c r="AQ10" s="5" t="e">
        <f t="shared" ca="1" si="19"/>
        <v>#N/A</v>
      </c>
    </row>
    <row r="11" spans="1:43">
      <c r="A11" s="117"/>
      <c r="B11" s="103"/>
      <c r="C11" s="2"/>
      <c r="D11" s="2"/>
      <c r="E11" s="2"/>
      <c r="F11" s="2"/>
      <c r="G11" s="2"/>
      <c r="H11" s="76"/>
      <c r="I11" s="95"/>
      <c r="J11" s="98"/>
      <c r="K11" s="45"/>
      <c r="L11" s="2"/>
      <c r="M11" s="45"/>
      <c r="N11" s="2"/>
      <c r="O11" s="2"/>
      <c r="P11" s="114"/>
      <c r="Q11" s="1">
        <f t="shared" si="0"/>
        <v>0</v>
      </c>
      <c r="R11" s="68" t="e">
        <f t="shared" ref="R11:R25" si="26">P11/C11</f>
        <v>#DIV/0!</v>
      </c>
      <c r="S11" s="3" t="e">
        <f t="shared" ref="S11:S25" si="27">C11/D11</f>
        <v>#DIV/0!</v>
      </c>
      <c r="U11" s="4">
        <f t="shared" ref="U11:U25" si="28">IF(E11=0,C11*1.1,C11)</f>
        <v>0</v>
      </c>
      <c r="V11" s="4">
        <f t="shared" ref="V11:V25" si="29">ROUNDUP(U11*H11+I11,0)</f>
        <v>0</v>
      </c>
      <c r="W11" s="4">
        <f t="shared" ref="W11:W25" si="30">U11-V11</f>
        <v>0</v>
      </c>
      <c r="X11" s="4">
        <f t="shared" si="5"/>
        <v>0</v>
      </c>
      <c r="Y11" s="5">
        <f t="shared" ref="Y11:Y25" si="31">W11-Q11-((W11-X11)-(Q11-P11))</f>
        <v>0</v>
      </c>
      <c r="Z11" s="3" t="e">
        <f t="shared" si="7"/>
        <v>#DIV/0!</v>
      </c>
      <c r="AA11" s="1">
        <f>IF(J11="送料負担なし",0,IF(F11=1,(VLOOKUP(J11&amp;K11,②送料!$A:$E,3,FALSE)),0))</f>
        <v>0</v>
      </c>
      <c r="AB11" s="5">
        <f t="shared" ref="AB11:AB25" si="32">Y11-AA11</f>
        <v>0</v>
      </c>
      <c r="AC11" s="3" t="e">
        <f t="shared" si="9"/>
        <v>#DIV/0!</v>
      </c>
      <c r="AD11" s="1">
        <f t="shared" ref="AD11:AD25" si="33">IF(AND(G11&lt;&gt;"",G11&gt;0),ROUNDUP((G11-1)*0.01*X11,0),0)</f>
        <v>0</v>
      </c>
      <c r="AE11" s="5">
        <f t="shared" ref="AE11:AE25" si="34">AB11-AD11</f>
        <v>0</v>
      </c>
      <c r="AF11" s="3" t="e">
        <f t="shared" si="12"/>
        <v>#DIV/0!</v>
      </c>
      <c r="AG11" s="1">
        <f t="shared" ref="AG11:AG25" si="35">L11</f>
        <v>0</v>
      </c>
      <c r="AH11" s="1">
        <f>IF(M11="有",IF(AND(N11&lt;&gt;"",O11&lt;&gt;"",J11="RSL"),ROUNDUP(N11*7.5/1000*O11/30,0),ROUNDUP(C11*①店舗情報!$B$11,0)),0)</f>
        <v>0</v>
      </c>
      <c r="AI11" s="5">
        <f t="shared" ref="AI11:AI25" si="36">AE11-AG11-AH11</f>
        <v>0</v>
      </c>
      <c r="AJ11" s="3" t="e">
        <f t="shared" si="15"/>
        <v>#DIV/0!</v>
      </c>
      <c r="AK11" s="5">
        <f ca="1">ROUNDUP(W11*①店舗情報!$B$23,0)</f>
        <v>0</v>
      </c>
      <c r="AL11" s="5">
        <f>IFERROR(VLOOKUP(A11,③RPP!D:Z,23,FALSE),0)</f>
        <v>0</v>
      </c>
      <c r="AM11" s="1">
        <f t="shared" ref="AM11:AM25" si="37">IF(OR(H11&gt;0,I11&gt;0),50,0)</f>
        <v>0</v>
      </c>
      <c r="AN11" s="5">
        <f t="shared" ref="AN11:AN25" ca="1" si="38">AE11-AK11-AL11-AM11</f>
        <v>0</v>
      </c>
      <c r="AO11" s="3" t="e">
        <f t="shared" ca="1" si="18"/>
        <v>#DIV/0!</v>
      </c>
      <c r="AP11" s="122" t="e">
        <f>VLOOKUP(A11,④商品別売上データ!B:E,4,FALSE)</f>
        <v>#N/A</v>
      </c>
      <c r="AQ11" s="5" t="e">
        <f t="shared" ca="1" si="19"/>
        <v>#N/A</v>
      </c>
    </row>
    <row r="12" spans="1:43">
      <c r="A12" s="117"/>
      <c r="B12" s="103"/>
      <c r="C12" s="2"/>
      <c r="D12" s="2"/>
      <c r="E12" s="2"/>
      <c r="F12" s="2"/>
      <c r="G12" s="2"/>
      <c r="H12" s="76"/>
      <c r="I12" s="95"/>
      <c r="J12" s="98"/>
      <c r="K12" s="45"/>
      <c r="L12" s="2"/>
      <c r="M12" s="45"/>
      <c r="N12" s="2"/>
      <c r="O12" s="2"/>
      <c r="P12" s="114"/>
      <c r="Q12" s="1">
        <f t="shared" si="0"/>
        <v>0</v>
      </c>
      <c r="R12" s="68" t="e">
        <f t="shared" si="26"/>
        <v>#DIV/0!</v>
      </c>
      <c r="S12" s="3" t="e">
        <f t="shared" si="27"/>
        <v>#DIV/0!</v>
      </c>
      <c r="U12" s="4">
        <f t="shared" si="28"/>
        <v>0</v>
      </c>
      <c r="V12" s="4">
        <f t="shared" si="29"/>
        <v>0</v>
      </c>
      <c r="W12" s="4">
        <f t="shared" si="30"/>
        <v>0</v>
      </c>
      <c r="X12" s="4">
        <f t="shared" si="5"/>
        <v>0</v>
      </c>
      <c r="Y12" s="5">
        <f t="shared" si="31"/>
        <v>0</v>
      </c>
      <c r="Z12" s="3" t="e">
        <f t="shared" si="7"/>
        <v>#DIV/0!</v>
      </c>
      <c r="AA12" s="1">
        <f>IF(J12="送料負担なし",0,IF(F12=1,(VLOOKUP(J12&amp;K12,②送料!$A:$E,3,FALSE)),0))</f>
        <v>0</v>
      </c>
      <c r="AB12" s="5">
        <f t="shared" si="32"/>
        <v>0</v>
      </c>
      <c r="AC12" s="3" t="e">
        <f t="shared" si="9"/>
        <v>#DIV/0!</v>
      </c>
      <c r="AD12" s="1">
        <f t="shared" si="33"/>
        <v>0</v>
      </c>
      <c r="AE12" s="5">
        <f t="shared" si="34"/>
        <v>0</v>
      </c>
      <c r="AF12" s="3" t="e">
        <f t="shared" si="12"/>
        <v>#DIV/0!</v>
      </c>
      <c r="AG12" s="1">
        <f t="shared" si="35"/>
        <v>0</v>
      </c>
      <c r="AH12" s="1">
        <f>IF(M12="有",IF(AND(N12&lt;&gt;"",O12&lt;&gt;"",J12="RSL"),ROUNDUP(N12*7.5/1000*O12/30,0),ROUNDUP(C12*①店舗情報!$B$11,0)),0)</f>
        <v>0</v>
      </c>
      <c r="AI12" s="5">
        <f t="shared" si="36"/>
        <v>0</v>
      </c>
      <c r="AJ12" s="3" t="e">
        <f t="shared" si="15"/>
        <v>#DIV/0!</v>
      </c>
      <c r="AK12" s="5">
        <f ca="1">ROUNDUP(W12*①店舗情報!$B$23,0)</f>
        <v>0</v>
      </c>
      <c r="AL12" s="5">
        <f>IFERROR(VLOOKUP(A12,③RPP!D:Z,23,FALSE),0)</f>
        <v>0</v>
      </c>
      <c r="AM12" s="1">
        <f t="shared" si="37"/>
        <v>0</v>
      </c>
      <c r="AN12" s="5">
        <f t="shared" ca="1" si="38"/>
        <v>0</v>
      </c>
      <c r="AO12" s="3" t="e">
        <f t="shared" ca="1" si="18"/>
        <v>#DIV/0!</v>
      </c>
      <c r="AP12" s="122" t="e">
        <f>VLOOKUP(A12,④商品別売上データ!B:E,4,FALSE)</f>
        <v>#N/A</v>
      </c>
      <c r="AQ12" s="5" t="e">
        <f t="shared" ca="1" si="19"/>
        <v>#N/A</v>
      </c>
    </row>
    <row r="13" spans="1:43">
      <c r="A13" s="117"/>
      <c r="B13" s="103"/>
      <c r="C13" s="2"/>
      <c r="D13" s="2"/>
      <c r="E13" s="2"/>
      <c r="F13" s="2"/>
      <c r="G13" s="2"/>
      <c r="H13" s="76"/>
      <c r="I13" s="95"/>
      <c r="J13" s="98"/>
      <c r="K13" s="45"/>
      <c r="L13" s="2"/>
      <c r="M13" s="45"/>
      <c r="N13" s="2"/>
      <c r="O13" s="2"/>
      <c r="P13" s="114"/>
      <c r="Q13" s="1">
        <f t="shared" si="0"/>
        <v>0</v>
      </c>
      <c r="R13" s="68" t="e">
        <f t="shared" si="26"/>
        <v>#DIV/0!</v>
      </c>
      <c r="S13" s="3" t="e">
        <f t="shared" si="27"/>
        <v>#DIV/0!</v>
      </c>
      <c r="U13" s="4">
        <f t="shared" si="28"/>
        <v>0</v>
      </c>
      <c r="V13" s="4">
        <f t="shared" si="29"/>
        <v>0</v>
      </c>
      <c r="W13" s="4">
        <f t="shared" si="30"/>
        <v>0</v>
      </c>
      <c r="X13" s="4">
        <f t="shared" si="5"/>
        <v>0</v>
      </c>
      <c r="Y13" s="5">
        <f t="shared" si="31"/>
        <v>0</v>
      </c>
      <c r="Z13" s="3" t="e">
        <f t="shared" si="7"/>
        <v>#DIV/0!</v>
      </c>
      <c r="AA13" s="1">
        <f>IF(J13="送料負担なし",0,IF(F13=1,(VLOOKUP(J13&amp;K13,②送料!$A:$E,3,FALSE)),0))</f>
        <v>0</v>
      </c>
      <c r="AB13" s="5">
        <f t="shared" si="32"/>
        <v>0</v>
      </c>
      <c r="AC13" s="3" t="e">
        <f t="shared" si="9"/>
        <v>#DIV/0!</v>
      </c>
      <c r="AD13" s="1">
        <f t="shared" si="33"/>
        <v>0</v>
      </c>
      <c r="AE13" s="5">
        <f t="shared" si="34"/>
        <v>0</v>
      </c>
      <c r="AF13" s="3" t="e">
        <f t="shared" si="12"/>
        <v>#DIV/0!</v>
      </c>
      <c r="AG13" s="1">
        <f t="shared" si="35"/>
        <v>0</v>
      </c>
      <c r="AH13" s="1">
        <f>IF(M13="有",IF(AND(N13&lt;&gt;"",O13&lt;&gt;"",J13="RSL"),ROUNDUP(N13*7.5/1000*O13/30,0),ROUNDUP(C13*①店舗情報!$B$11,0)),0)</f>
        <v>0</v>
      </c>
      <c r="AI13" s="5">
        <f t="shared" si="36"/>
        <v>0</v>
      </c>
      <c r="AJ13" s="3" t="e">
        <f t="shared" si="15"/>
        <v>#DIV/0!</v>
      </c>
      <c r="AK13" s="5">
        <f ca="1">ROUNDUP(W13*①店舗情報!$B$23,0)</f>
        <v>0</v>
      </c>
      <c r="AL13" s="5">
        <f>IFERROR(VLOOKUP(A13,③RPP!D:Z,23,FALSE),0)</f>
        <v>0</v>
      </c>
      <c r="AM13" s="1">
        <f t="shared" si="37"/>
        <v>0</v>
      </c>
      <c r="AN13" s="5">
        <f t="shared" ca="1" si="38"/>
        <v>0</v>
      </c>
      <c r="AO13" s="3" t="e">
        <f t="shared" ca="1" si="18"/>
        <v>#DIV/0!</v>
      </c>
      <c r="AP13" s="122" t="e">
        <f>VLOOKUP(A13,④商品別売上データ!B:E,4,FALSE)</f>
        <v>#N/A</v>
      </c>
      <c r="AQ13" s="5" t="e">
        <f t="shared" ca="1" si="19"/>
        <v>#N/A</v>
      </c>
    </row>
    <row r="14" spans="1:43">
      <c r="A14" s="117"/>
      <c r="B14" s="103"/>
      <c r="C14" s="2"/>
      <c r="D14" s="2"/>
      <c r="E14" s="2"/>
      <c r="F14" s="2"/>
      <c r="G14" s="2"/>
      <c r="H14" s="76"/>
      <c r="I14" s="95"/>
      <c r="J14" s="98"/>
      <c r="K14" s="45"/>
      <c r="L14" s="2"/>
      <c r="M14" s="45"/>
      <c r="N14" s="2"/>
      <c r="O14" s="2"/>
      <c r="P14" s="114"/>
      <c r="Q14" s="1">
        <f t="shared" si="0"/>
        <v>0</v>
      </c>
      <c r="R14" s="68" t="e">
        <f t="shared" si="26"/>
        <v>#DIV/0!</v>
      </c>
      <c r="S14" s="3" t="e">
        <f t="shared" si="27"/>
        <v>#DIV/0!</v>
      </c>
      <c r="U14" s="4">
        <f t="shared" si="28"/>
        <v>0</v>
      </c>
      <c r="V14" s="4">
        <f t="shared" si="29"/>
        <v>0</v>
      </c>
      <c r="W14" s="4">
        <f t="shared" si="30"/>
        <v>0</v>
      </c>
      <c r="X14" s="4">
        <f t="shared" si="5"/>
        <v>0</v>
      </c>
      <c r="Y14" s="5">
        <f t="shared" si="31"/>
        <v>0</v>
      </c>
      <c r="Z14" s="3" t="e">
        <f t="shared" si="7"/>
        <v>#DIV/0!</v>
      </c>
      <c r="AA14" s="1">
        <f>IF(J14="送料負担なし",0,IF(F14=1,(VLOOKUP(J14&amp;K14,②送料!$A:$E,3,FALSE)),0))</f>
        <v>0</v>
      </c>
      <c r="AB14" s="5">
        <f t="shared" si="32"/>
        <v>0</v>
      </c>
      <c r="AC14" s="3" t="e">
        <f t="shared" si="9"/>
        <v>#DIV/0!</v>
      </c>
      <c r="AD14" s="1">
        <f t="shared" si="33"/>
        <v>0</v>
      </c>
      <c r="AE14" s="5">
        <f t="shared" si="34"/>
        <v>0</v>
      </c>
      <c r="AF14" s="3" t="e">
        <f t="shared" si="12"/>
        <v>#DIV/0!</v>
      </c>
      <c r="AG14" s="1">
        <f t="shared" si="35"/>
        <v>0</v>
      </c>
      <c r="AH14" s="1">
        <f>IF(M14="有",IF(AND(N14&lt;&gt;"",O14&lt;&gt;"",J14="RSL"),ROUNDUP(N14*7.5/1000*O14/30,0),ROUNDUP(C14*①店舗情報!$B$11,0)),0)</f>
        <v>0</v>
      </c>
      <c r="AI14" s="5">
        <f t="shared" si="36"/>
        <v>0</v>
      </c>
      <c r="AJ14" s="3" t="e">
        <f t="shared" si="15"/>
        <v>#DIV/0!</v>
      </c>
      <c r="AK14" s="5">
        <f ca="1">ROUNDUP(W14*①店舗情報!$B$23,0)</f>
        <v>0</v>
      </c>
      <c r="AL14" s="5">
        <f>IFERROR(VLOOKUP(A14,③RPP!D:Z,23,FALSE),0)</f>
        <v>0</v>
      </c>
      <c r="AM14" s="1">
        <f t="shared" si="37"/>
        <v>0</v>
      </c>
      <c r="AN14" s="5">
        <f t="shared" ca="1" si="38"/>
        <v>0</v>
      </c>
      <c r="AO14" s="3" t="e">
        <f t="shared" ca="1" si="18"/>
        <v>#DIV/0!</v>
      </c>
      <c r="AP14" s="122" t="e">
        <f>VLOOKUP(A14,④商品別売上データ!B:E,4,FALSE)</f>
        <v>#N/A</v>
      </c>
      <c r="AQ14" s="5" t="e">
        <f t="shared" ca="1" si="19"/>
        <v>#N/A</v>
      </c>
    </row>
    <row r="15" spans="1:43">
      <c r="A15" s="117"/>
      <c r="B15" s="103"/>
      <c r="C15" s="2"/>
      <c r="D15" s="2"/>
      <c r="E15" s="2"/>
      <c r="F15" s="2"/>
      <c r="G15" s="2"/>
      <c r="H15" s="76"/>
      <c r="I15" s="95"/>
      <c r="J15" s="98"/>
      <c r="K15" s="45"/>
      <c r="L15" s="2"/>
      <c r="M15" s="45"/>
      <c r="N15" s="2"/>
      <c r="O15" s="2"/>
      <c r="P15" s="114"/>
      <c r="Q15" s="1">
        <f t="shared" si="0"/>
        <v>0</v>
      </c>
      <c r="R15" s="68" t="e">
        <f t="shared" si="26"/>
        <v>#DIV/0!</v>
      </c>
      <c r="S15" s="3" t="e">
        <f t="shared" si="27"/>
        <v>#DIV/0!</v>
      </c>
      <c r="U15" s="4">
        <f t="shared" si="28"/>
        <v>0</v>
      </c>
      <c r="V15" s="4">
        <f t="shared" si="29"/>
        <v>0</v>
      </c>
      <c r="W15" s="4">
        <f t="shared" si="30"/>
        <v>0</v>
      </c>
      <c r="X15" s="4">
        <f t="shared" si="5"/>
        <v>0</v>
      </c>
      <c r="Y15" s="5">
        <f t="shared" si="31"/>
        <v>0</v>
      </c>
      <c r="Z15" s="3" t="e">
        <f t="shared" si="7"/>
        <v>#DIV/0!</v>
      </c>
      <c r="AA15" s="1">
        <f>IF(J15="送料負担なし",0,IF(F15=1,(VLOOKUP(J15&amp;K15,②送料!$A:$E,3,FALSE)),0))</f>
        <v>0</v>
      </c>
      <c r="AB15" s="5">
        <f t="shared" si="32"/>
        <v>0</v>
      </c>
      <c r="AC15" s="3" t="e">
        <f t="shared" si="9"/>
        <v>#DIV/0!</v>
      </c>
      <c r="AD15" s="1">
        <f t="shared" si="33"/>
        <v>0</v>
      </c>
      <c r="AE15" s="5">
        <f t="shared" si="34"/>
        <v>0</v>
      </c>
      <c r="AF15" s="3" t="e">
        <f t="shared" si="12"/>
        <v>#DIV/0!</v>
      </c>
      <c r="AG15" s="1">
        <f t="shared" si="35"/>
        <v>0</v>
      </c>
      <c r="AH15" s="1">
        <f>IF(M15="有",IF(AND(N15&lt;&gt;"",O15&lt;&gt;"",J15="RSL"),ROUNDUP(N15*7.5/1000*O15/30,0),ROUNDUP(C15*①店舗情報!$B$11,0)),0)</f>
        <v>0</v>
      </c>
      <c r="AI15" s="5">
        <f t="shared" si="36"/>
        <v>0</v>
      </c>
      <c r="AJ15" s="3" t="e">
        <f t="shared" si="15"/>
        <v>#DIV/0!</v>
      </c>
      <c r="AK15" s="5">
        <f ca="1">ROUNDUP(W15*①店舗情報!$B$23,0)</f>
        <v>0</v>
      </c>
      <c r="AL15" s="5">
        <f>IFERROR(VLOOKUP(A15,③RPP!D:Z,23,FALSE),0)</f>
        <v>0</v>
      </c>
      <c r="AM15" s="1">
        <f t="shared" si="37"/>
        <v>0</v>
      </c>
      <c r="AN15" s="5">
        <f t="shared" ca="1" si="38"/>
        <v>0</v>
      </c>
      <c r="AO15" s="3" t="e">
        <f t="shared" ca="1" si="18"/>
        <v>#DIV/0!</v>
      </c>
      <c r="AP15" s="122" t="e">
        <f>VLOOKUP(A15,④商品別売上データ!B:E,4,FALSE)</f>
        <v>#N/A</v>
      </c>
      <c r="AQ15" s="5" t="e">
        <f t="shared" ca="1" si="19"/>
        <v>#N/A</v>
      </c>
    </row>
    <row r="16" spans="1:43">
      <c r="A16" s="117"/>
      <c r="B16" s="103"/>
      <c r="C16" s="2"/>
      <c r="D16" s="2"/>
      <c r="E16" s="2"/>
      <c r="F16" s="2"/>
      <c r="G16" s="2"/>
      <c r="H16" s="76"/>
      <c r="I16" s="95"/>
      <c r="J16" s="98"/>
      <c r="K16" s="45"/>
      <c r="L16" s="2"/>
      <c r="M16" s="45"/>
      <c r="N16" s="2"/>
      <c r="O16" s="2"/>
      <c r="P16" s="114"/>
      <c r="Q16" s="1">
        <f t="shared" si="0"/>
        <v>0</v>
      </c>
      <c r="R16" s="68" t="e">
        <f t="shared" si="26"/>
        <v>#DIV/0!</v>
      </c>
      <c r="S16" s="3" t="e">
        <f t="shared" si="27"/>
        <v>#DIV/0!</v>
      </c>
      <c r="U16" s="4">
        <f t="shared" si="28"/>
        <v>0</v>
      </c>
      <c r="V16" s="4">
        <f t="shared" si="29"/>
        <v>0</v>
      </c>
      <c r="W16" s="4">
        <f t="shared" si="30"/>
        <v>0</v>
      </c>
      <c r="X16" s="4">
        <f t="shared" si="5"/>
        <v>0</v>
      </c>
      <c r="Y16" s="5">
        <f t="shared" si="31"/>
        <v>0</v>
      </c>
      <c r="Z16" s="3" t="e">
        <f t="shared" si="7"/>
        <v>#DIV/0!</v>
      </c>
      <c r="AA16" s="1">
        <f>IF(J16="送料負担なし",0,IF(F16=1,(VLOOKUP(J16&amp;K16,②送料!$A:$E,3,FALSE)),0))</f>
        <v>0</v>
      </c>
      <c r="AB16" s="5">
        <f t="shared" si="32"/>
        <v>0</v>
      </c>
      <c r="AC16" s="3" t="e">
        <f t="shared" si="9"/>
        <v>#DIV/0!</v>
      </c>
      <c r="AD16" s="1">
        <f t="shared" si="33"/>
        <v>0</v>
      </c>
      <c r="AE16" s="5">
        <f t="shared" si="34"/>
        <v>0</v>
      </c>
      <c r="AF16" s="3" t="e">
        <f t="shared" si="12"/>
        <v>#DIV/0!</v>
      </c>
      <c r="AG16" s="1">
        <f t="shared" si="35"/>
        <v>0</v>
      </c>
      <c r="AH16" s="1">
        <f>IF(M16="有",IF(AND(N16&lt;&gt;"",O16&lt;&gt;"",J16="RSL"),ROUNDUP(N16*7.5/1000*O16/30,0),ROUNDUP(C16*①店舗情報!$B$11,0)),0)</f>
        <v>0</v>
      </c>
      <c r="AI16" s="5">
        <f t="shared" si="36"/>
        <v>0</v>
      </c>
      <c r="AJ16" s="3" t="e">
        <f t="shared" si="15"/>
        <v>#DIV/0!</v>
      </c>
      <c r="AK16" s="5">
        <f ca="1">ROUNDUP(W16*①店舗情報!$B$23,0)</f>
        <v>0</v>
      </c>
      <c r="AL16" s="5">
        <f>IFERROR(VLOOKUP(A16,③RPP!D:Z,23,FALSE),0)</f>
        <v>0</v>
      </c>
      <c r="AM16" s="1">
        <f t="shared" si="37"/>
        <v>0</v>
      </c>
      <c r="AN16" s="5">
        <f t="shared" ca="1" si="38"/>
        <v>0</v>
      </c>
      <c r="AO16" s="3" t="e">
        <f t="shared" ca="1" si="18"/>
        <v>#DIV/0!</v>
      </c>
      <c r="AP16" s="122" t="e">
        <f>VLOOKUP(A16,④商品別売上データ!B:E,4,FALSE)</f>
        <v>#N/A</v>
      </c>
      <c r="AQ16" s="5" t="e">
        <f t="shared" ca="1" si="19"/>
        <v>#N/A</v>
      </c>
    </row>
    <row r="17" spans="1:43">
      <c r="A17" s="117"/>
      <c r="B17" s="103"/>
      <c r="C17" s="2"/>
      <c r="D17" s="2"/>
      <c r="E17" s="2"/>
      <c r="F17" s="2"/>
      <c r="G17" s="2"/>
      <c r="H17" s="76"/>
      <c r="I17" s="95"/>
      <c r="J17" s="98"/>
      <c r="K17" s="45"/>
      <c r="L17" s="2"/>
      <c r="M17" s="45"/>
      <c r="N17" s="2"/>
      <c r="O17" s="2"/>
      <c r="P17" s="114"/>
      <c r="Q17" s="1">
        <f t="shared" si="0"/>
        <v>0</v>
      </c>
      <c r="R17" s="68" t="e">
        <f t="shared" si="26"/>
        <v>#DIV/0!</v>
      </c>
      <c r="S17" s="3" t="e">
        <f t="shared" si="27"/>
        <v>#DIV/0!</v>
      </c>
      <c r="U17" s="4">
        <f t="shared" si="28"/>
        <v>0</v>
      </c>
      <c r="V17" s="4">
        <f t="shared" si="29"/>
        <v>0</v>
      </c>
      <c r="W17" s="4">
        <f t="shared" si="30"/>
        <v>0</v>
      </c>
      <c r="X17" s="4">
        <f t="shared" si="5"/>
        <v>0</v>
      </c>
      <c r="Y17" s="5">
        <f t="shared" si="31"/>
        <v>0</v>
      </c>
      <c r="Z17" s="3" t="e">
        <f t="shared" si="7"/>
        <v>#DIV/0!</v>
      </c>
      <c r="AA17" s="1">
        <f>IF(J17="送料負担なし",0,IF(F17=1,(VLOOKUP(J17&amp;K17,②送料!$A:$E,3,FALSE)),0))</f>
        <v>0</v>
      </c>
      <c r="AB17" s="5">
        <f t="shared" si="32"/>
        <v>0</v>
      </c>
      <c r="AC17" s="3" t="e">
        <f t="shared" si="9"/>
        <v>#DIV/0!</v>
      </c>
      <c r="AD17" s="1">
        <f t="shared" si="33"/>
        <v>0</v>
      </c>
      <c r="AE17" s="5">
        <f t="shared" si="34"/>
        <v>0</v>
      </c>
      <c r="AF17" s="3" t="e">
        <f t="shared" si="12"/>
        <v>#DIV/0!</v>
      </c>
      <c r="AG17" s="1">
        <f t="shared" si="35"/>
        <v>0</v>
      </c>
      <c r="AH17" s="1">
        <f>IF(M17="有",IF(AND(N17&lt;&gt;"",O17&lt;&gt;"",J17="RSL"),ROUNDUP(N17*7.5/1000*O17/30,0),ROUNDUP(C17*①店舗情報!$B$11,0)),0)</f>
        <v>0</v>
      </c>
      <c r="AI17" s="5">
        <f t="shared" si="36"/>
        <v>0</v>
      </c>
      <c r="AJ17" s="3" t="e">
        <f t="shared" si="15"/>
        <v>#DIV/0!</v>
      </c>
      <c r="AK17" s="5">
        <f ca="1">ROUNDUP(W17*①店舗情報!$B$23,0)</f>
        <v>0</v>
      </c>
      <c r="AL17" s="5">
        <f>IFERROR(VLOOKUP(A17,③RPP!D:Z,23,FALSE),0)</f>
        <v>0</v>
      </c>
      <c r="AM17" s="1">
        <f t="shared" si="37"/>
        <v>0</v>
      </c>
      <c r="AN17" s="5">
        <f t="shared" ca="1" si="38"/>
        <v>0</v>
      </c>
      <c r="AO17" s="3" t="e">
        <f ca="1">AN17/$X17</f>
        <v>#DIV/0!</v>
      </c>
      <c r="AP17" s="122" t="e">
        <f>VLOOKUP(A17,④商品別売上データ!B:E,4,FALSE)</f>
        <v>#N/A</v>
      </c>
      <c r="AQ17" s="5" t="e">
        <f t="shared" ca="1" si="19"/>
        <v>#N/A</v>
      </c>
    </row>
    <row r="18" spans="1:43">
      <c r="A18" s="117"/>
      <c r="B18" s="103"/>
      <c r="C18" s="2"/>
      <c r="D18" s="2"/>
      <c r="E18" s="2"/>
      <c r="F18" s="2"/>
      <c r="G18" s="2"/>
      <c r="H18" s="76"/>
      <c r="I18" s="95"/>
      <c r="J18" s="98"/>
      <c r="K18" s="45"/>
      <c r="L18" s="2"/>
      <c r="M18" s="45"/>
      <c r="N18" s="2"/>
      <c r="O18" s="2"/>
      <c r="P18" s="114"/>
      <c r="Q18" s="1">
        <f t="shared" si="0"/>
        <v>0</v>
      </c>
      <c r="R18" s="68" t="e">
        <f t="shared" si="26"/>
        <v>#DIV/0!</v>
      </c>
      <c r="S18" s="3" t="e">
        <f t="shared" si="27"/>
        <v>#DIV/0!</v>
      </c>
      <c r="U18" s="4">
        <f t="shared" si="28"/>
        <v>0</v>
      </c>
      <c r="V18" s="4">
        <f t="shared" si="29"/>
        <v>0</v>
      </c>
      <c r="W18" s="4">
        <f t="shared" si="30"/>
        <v>0</v>
      </c>
      <c r="X18" s="4">
        <f t="shared" si="5"/>
        <v>0</v>
      </c>
      <c r="Y18" s="5">
        <f t="shared" si="31"/>
        <v>0</v>
      </c>
      <c r="Z18" s="3" t="e">
        <f t="shared" si="7"/>
        <v>#DIV/0!</v>
      </c>
      <c r="AA18" s="1">
        <f>IF(J18="送料負担なし",0,IF(F18=1,(VLOOKUP(J18&amp;K18,②送料!$A:$E,3,FALSE)),0))</f>
        <v>0</v>
      </c>
      <c r="AB18" s="5">
        <f t="shared" si="32"/>
        <v>0</v>
      </c>
      <c r="AC18" s="3" t="e">
        <f t="shared" si="9"/>
        <v>#DIV/0!</v>
      </c>
      <c r="AD18" s="1">
        <f t="shared" si="33"/>
        <v>0</v>
      </c>
      <c r="AE18" s="5">
        <f t="shared" si="34"/>
        <v>0</v>
      </c>
      <c r="AF18" s="3" t="e">
        <f t="shared" si="12"/>
        <v>#DIV/0!</v>
      </c>
      <c r="AG18" s="1">
        <f t="shared" si="35"/>
        <v>0</v>
      </c>
      <c r="AH18" s="1">
        <f>IF(M18="有",IF(AND(N18&lt;&gt;"",O18&lt;&gt;"",J18="RSL"),ROUNDUP(N18*7.5/1000*O18/30,0),ROUNDUP(C18*①店舗情報!$B$11,0)),0)</f>
        <v>0</v>
      </c>
      <c r="AI18" s="5">
        <f t="shared" si="36"/>
        <v>0</v>
      </c>
      <c r="AJ18" s="3" t="e">
        <f t="shared" si="15"/>
        <v>#DIV/0!</v>
      </c>
      <c r="AK18" s="5">
        <f ca="1">ROUNDUP(W18*①店舗情報!$B$23,0)</f>
        <v>0</v>
      </c>
      <c r="AL18" s="5">
        <f>IFERROR(VLOOKUP(A18,③RPP!D:Z,23,FALSE),0)</f>
        <v>0</v>
      </c>
      <c r="AM18" s="1">
        <f t="shared" si="37"/>
        <v>0</v>
      </c>
      <c r="AN18" s="5">
        <f t="shared" ca="1" si="38"/>
        <v>0</v>
      </c>
      <c r="AO18" s="3" t="e">
        <f t="shared" ca="1" si="18"/>
        <v>#DIV/0!</v>
      </c>
      <c r="AP18" s="122" t="e">
        <f>VLOOKUP(A18,④商品別売上データ!B:E,4,FALSE)</f>
        <v>#N/A</v>
      </c>
      <c r="AQ18" s="5" t="e">
        <f t="shared" ca="1" si="19"/>
        <v>#N/A</v>
      </c>
    </row>
    <row r="19" spans="1:43">
      <c r="A19" s="117"/>
      <c r="B19" s="103"/>
      <c r="C19" s="2"/>
      <c r="D19" s="2"/>
      <c r="E19" s="2"/>
      <c r="F19" s="2"/>
      <c r="G19" s="2"/>
      <c r="H19" s="76"/>
      <c r="I19" s="95"/>
      <c r="J19" s="98"/>
      <c r="K19" s="45"/>
      <c r="L19" s="2"/>
      <c r="M19" s="45"/>
      <c r="N19" s="2"/>
      <c r="O19" s="2"/>
      <c r="P19" s="114"/>
      <c r="Q19" s="1">
        <f t="shared" si="0"/>
        <v>0</v>
      </c>
      <c r="R19" s="68" t="e">
        <f t="shared" si="26"/>
        <v>#DIV/0!</v>
      </c>
      <c r="S19" s="3" t="e">
        <f t="shared" si="27"/>
        <v>#DIV/0!</v>
      </c>
      <c r="U19" s="4">
        <f t="shared" si="28"/>
        <v>0</v>
      </c>
      <c r="V19" s="4">
        <f t="shared" si="29"/>
        <v>0</v>
      </c>
      <c r="W19" s="4">
        <f t="shared" si="30"/>
        <v>0</v>
      </c>
      <c r="X19" s="4">
        <f t="shared" si="5"/>
        <v>0</v>
      </c>
      <c r="Y19" s="5">
        <f t="shared" si="31"/>
        <v>0</v>
      </c>
      <c r="Z19" s="3" t="e">
        <f t="shared" si="7"/>
        <v>#DIV/0!</v>
      </c>
      <c r="AA19" s="1">
        <f>IF(J19="送料負担なし",0,IF(F19=1,(VLOOKUP(J19&amp;K19,②送料!$A:$E,3,FALSE)),0))</f>
        <v>0</v>
      </c>
      <c r="AB19" s="5">
        <f t="shared" si="32"/>
        <v>0</v>
      </c>
      <c r="AC19" s="3" t="e">
        <f t="shared" si="9"/>
        <v>#DIV/0!</v>
      </c>
      <c r="AD19" s="1">
        <f t="shared" si="33"/>
        <v>0</v>
      </c>
      <c r="AE19" s="5">
        <f t="shared" si="34"/>
        <v>0</v>
      </c>
      <c r="AF19" s="3" t="e">
        <f t="shared" si="12"/>
        <v>#DIV/0!</v>
      </c>
      <c r="AG19" s="1">
        <f t="shared" si="35"/>
        <v>0</v>
      </c>
      <c r="AH19" s="1">
        <f>IF(M19="有",IF(AND(N19&lt;&gt;"",O19&lt;&gt;"",J19="RSL"),ROUNDUP(N19*7.5/1000*O19/30,0),ROUNDUP(C19*①店舗情報!$B$11,0)),0)</f>
        <v>0</v>
      </c>
      <c r="AI19" s="5">
        <f t="shared" si="36"/>
        <v>0</v>
      </c>
      <c r="AJ19" s="3" t="e">
        <f t="shared" si="15"/>
        <v>#DIV/0!</v>
      </c>
      <c r="AK19" s="5">
        <f ca="1">ROUNDUP(W19*①店舗情報!$B$23,0)</f>
        <v>0</v>
      </c>
      <c r="AL19" s="5">
        <f>IFERROR(VLOOKUP(A19,③RPP!D:Z,23,FALSE),0)</f>
        <v>0</v>
      </c>
      <c r="AM19" s="1">
        <f t="shared" si="37"/>
        <v>0</v>
      </c>
      <c r="AN19" s="5">
        <f t="shared" ca="1" si="38"/>
        <v>0</v>
      </c>
      <c r="AO19" s="3" t="e">
        <f t="shared" ca="1" si="18"/>
        <v>#DIV/0!</v>
      </c>
      <c r="AP19" s="122" t="e">
        <f>VLOOKUP(A19,④商品別売上データ!B:E,4,FALSE)</f>
        <v>#N/A</v>
      </c>
      <c r="AQ19" s="5" t="e">
        <f t="shared" ca="1" si="19"/>
        <v>#N/A</v>
      </c>
    </row>
    <row r="20" spans="1:43">
      <c r="A20" s="117"/>
      <c r="B20" s="103"/>
      <c r="C20" s="2"/>
      <c r="D20" s="2"/>
      <c r="E20" s="2"/>
      <c r="F20" s="2"/>
      <c r="G20" s="2"/>
      <c r="H20" s="76"/>
      <c r="I20" s="95"/>
      <c r="J20" s="98"/>
      <c r="K20" s="45"/>
      <c r="L20" s="2"/>
      <c r="M20" s="45"/>
      <c r="N20" s="2"/>
      <c r="O20" s="2"/>
      <c r="P20" s="114"/>
      <c r="Q20" s="1">
        <f t="shared" si="0"/>
        <v>0</v>
      </c>
      <c r="R20" s="68" t="e">
        <f t="shared" si="26"/>
        <v>#DIV/0!</v>
      </c>
      <c r="S20" s="3" t="e">
        <f t="shared" si="27"/>
        <v>#DIV/0!</v>
      </c>
      <c r="U20" s="4">
        <f t="shared" si="28"/>
        <v>0</v>
      </c>
      <c r="V20" s="4">
        <f t="shared" si="29"/>
        <v>0</v>
      </c>
      <c r="W20" s="4">
        <f t="shared" si="30"/>
        <v>0</v>
      </c>
      <c r="X20" s="4">
        <f t="shared" si="5"/>
        <v>0</v>
      </c>
      <c r="Y20" s="5">
        <f t="shared" si="31"/>
        <v>0</v>
      </c>
      <c r="Z20" s="3" t="e">
        <f t="shared" si="7"/>
        <v>#DIV/0!</v>
      </c>
      <c r="AA20" s="1">
        <f>IF(J20="送料負担なし",0,IF(F20=1,(VLOOKUP(J20&amp;K20,②送料!$A:$E,3,FALSE)),0))</f>
        <v>0</v>
      </c>
      <c r="AB20" s="5">
        <f t="shared" si="32"/>
        <v>0</v>
      </c>
      <c r="AC20" s="3" t="e">
        <f t="shared" si="9"/>
        <v>#DIV/0!</v>
      </c>
      <c r="AD20" s="1">
        <f t="shared" si="33"/>
        <v>0</v>
      </c>
      <c r="AE20" s="5">
        <f t="shared" si="34"/>
        <v>0</v>
      </c>
      <c r="AF20" s="3" t="e">
        <f t="shared" si="12"/>
        <v>#DIV/0!</v>
      </c>
      <c r="AG20" s="1">
        <f t="shared" si="35"/>
        <v>0</v>
      </c>
      <c r="AH20" s="1">
        <f>IF(M20="有",IF(AND(N20&lt;&gt;"",O20&lt;&gt;"",J20="RSL"),ROUNDUP(N20*7.5/1000*O20/30,0),ROUNDUP(C20*①店舗情報!$B$11,0)),0)</f>
        <v>0</v>
      </c>
      <c r="AI20" s="5">
        <f t="shared" si="36"/>
        <v>0</v>
      </c>
      <c r="AJ20" s="3" t="e">
        <f t="shared" si="15"/>
        <v>#DIV/0!</v>
      </c>
      <c r="AK20" s="5">
        <f ca="1">ROUNDUP(W20*①店舗情報!$B$23,0)</f>
        <v>0</v>
      </c>
      <c r="AL20" s="5">
        <f>IFERROR(VLOOKUP(A20,③RPP!D:Z,23,FALSE),0)</f>
        <v>0</v>
      </c>
      <c r="AM20" s="1">
        <f t="shared" si="37"/>
        <v>0</v>
      </c>
      <c r="AN20" s="5">
        <f t="shared" ca="1" si="38"/>
        <v>0</v>
      </c>
      <c r="AO20" s="3" t="e">
        <f t="shared" ca="1" si="18"/>
        <v>#DIV/0!</v>
      </c>
      <c r="AP20" s="122" t="e">
        <f>VLOOKUP(A20,④商品別売上データ!B:E,4,FALSE)</f>
        <v>#N/A</v>
      </c>
      <c r="AQ20" s="5" t="e">
        <f t="shared" ca="1" si="19"/>
        <v>#N/A</v>
      </c>
    </row>
    <row r="21" spans="1:43">
      <c r="A21" s="117"/>
      <c r="B21" s="103"/>
      <c r="C21" s="2"/>
      <c r="D21" s="2"/>
      <c r="E21" s="2"/>
      <c r="F21" s="2"/>
      <c r="G21" s="2"/>
      <c r="H21" s="76"/>
      <c r="I21" s="95"/>
      <c r="J21" s="98"/>
      <c r="K21" s="45"/>
      <c r="L21" s="2"/>
      <c r="M21" s="45"/>
      <c r="N21" s="2"/>
      <c r="O21" s="2"/>
      <c r="P21" s="114"/>
      <c r="Q21" s="1">
        <f t="shared" si="0"/>
        <v>0</v>
      </c>
      <c r="R21" s="68" t="e">
        <f t="shared" si="26"/>
        <v>#DIV/0!</v>
      </c>
      <c r="S21" s="3" t="e">
        <f t="shared" si="27"/>
        <v>#DIV/0!</v>
      </c>
      <c r="U21" s="4">
        <f t="shared" si="28"/>
        <v>0</v>
      </c>
      <c r="V21" s="4">
        <f t="shared" si="29"/>
        <v>0</v>
      </c>
      <c r="W21" s="4">
        <f t="shared" si="30"/>
        <v>0</v>
      </c>
      <c r="X21" s="4">
        <f t="shared" si="5"/>
        <v>0</v>
      </c>
      <c r="Y21" s="5">
        <f t="shared" si="31"/>
        <v>0</v>
      </c>
      <c r="Z21" s="3" t="e">
        <f t="shared" si="7"/>
        <v>#DIV/0!</v>
      </c>
      <c r="AA21" s="1">
        <f>IF(J21="送料負担なし",0,IF(F21=1,(VLOOKUP(J21&amp;K21,②送料!$A:$E,3,FALSE)),0))</f>
        <v>0</v>
      </c>
      <c r="AB21" s="5">
        <f t="shared" si="32"/>
        <v>0</v>
      </c>
      <c r="AC21" s="3" t="e">
        <f t="shared" si="9"/>
        <v>#DIV/0!</v>
      </c>
      <c r="AD21" s="1">
        <f t="shared" si="33"/>
        <v>0</v>
      </c>
      <c r="AE21" s="5">
        <f t="shared" si="34"/>
        <v>0</v>
      </c>
      <c r="AF21" s="3" t="e">
        <f t="shared" si="12"/>
        <v>#DIV/0!</v>
      </c>
      <c r="AG21" s="1">
        <f t="shared" si="35"/>
        <v>0</v>
      </c>
      <c r="AH21" s="1">
        <f>IF(M21="有",IF(AND(N21&lt;&gt;"",O21&lt;&gt;"",J21="RSL"),ROUNDUP(N21*7.5/1000*O21/30,0),ROUNDUP(C21*①店舗情報!$B$11,0)),0)</f>
        <v>0</v>
      </c>
      <c r="AI21" s="5">
        <f t="shared" si="36"/>
        <v>0</v>
      </c>
      <c r="AJ21" s="3" t="e">
        <f t="shared" si="15"/>
        <v>#DIV/0!</v>
      </c>
      <c r="AK21" s="5">
        <f ca="1">ROUNDUP(W21*①店舗情報!$B$23,0)</f>
        <v>0</v>
      </c>
      <c r="AL21" s="5">
        <f>IFERROR(VLOOKUP(A21,③RPP!D:Z,23,FALSE),0)</f>
        <v>0</v>
      </c>
      <c r="AM21" s="1">
        <f t="shared" si="37"/>
        <v>0</v>
      </c>
      <c r="AN21" s="5">
        <f t="shared" ca="1" si="38"/>
        <v>0</v>
      </c>
      <c r="AO21" s="3" t="e">
        <f t="shared" ca="1" si="18"/>
        <v>#DIV/0!</v>
      </c>
      <c r="AP21" s="122" t="e">
        <f>VLOOKUP(A21,④商品別売上データ!B:E,4,FALSE)</f>
        <v>#N/A</v>
      </c>
      <c r="AQ21" s="5" t="e">
        <f t="shared" ca="1" si="19"/>
        <v>#N/A</v>
      </c>
    </row>
    <row r="22" spans="1:43">
      <c r="A22" s="117"/>
      <c r="B22" s="103"/>
      <c r="C22" s="2"/>
      <c r="D22" s="2"/>
      <c r="E22" s="2"/>
      <c r="F22" s="2"/>
      <c r="G22" s="2"/>
      <c r="H22" s="76"/>
      <c r="I22" s="95"/>
      <c r="J22" s="98"/>
      <c r="K22" s="45"/>
      <c r="L22" s="2"/>
      <c r="M22" s="45"/>
      <c r="N22" s="2"/>
      <c r="O22" s="2"/>
      <c r="P22" s="114"/>
      <c r="Q22" s="1">
        <f t="shared" si="0"/>
        <v>0</v>
      </c>
      <c r="R22" s="68" t="e">
        <f t="shared" si="26"/>
        <v>#DIV/0!</v>
      </c>
      <c r="S22" s="3" t="e">
        <f t="shared" si="27"/>
        <v>#DIV/0!</v>
      </c>
      <c r="U22" s="4">
        <f t="shared" si="28"/>
        <v>0</v>
      </c>
      <c r="V22" s="4">
        <f t="shared" si="29"/>
        <v>0</v>
      </c>
      <c r="W22" s="4">
        <f t="shared" si="30"/>
        <v>0</v>
      </c>
      <c r="X22" s="4">
        <f t="shared" si="5"/>
        <v>0</v>
      </c>
      <c r="Y22" s="5">
        <f t="shared" si="31"/>
        <v>0</v>
      </c>
      <c r="Z22" s="3" t="e">
        <f t="shared" si="7"/>
        <v>#DIV/0!</v>
      </c>
      <c r="AA22" s="1">
        <f>IF(J22="送料負担なし",0,IF(F22=1,(VLOOKUP(J22&amp;K22,②送料!$A:$E,3,FALSE)),0))</f>
        <v>0</v>
      </c>
      <c r="AB22" s="5">
        <f t="shared" si="32"/>
        <v>0</v>
      </c>
      <c r="AC22" s="3" t="e">
        <f t="shared" si="9"/>
        <v>#DIV/0!</v>
      </c>
      <c r="AD22" s="1">
        <f t="shared" si="33"/>
        <v>0</v>
      </c>
      <c r="AE22" s="5">
        <f t="shared" si="34"/>
        <v>0</v>
      </c>
      <c r="AF22" s="3" t="e">
        <f t="shared" si="12"/>
        <v>#DIV/0!</v>
      </c>
      <c r="AG22" s="1">
        <f t="shared" si="35"/>
        <v>0</v>
      </c>
      <c r="AH22" s="1">
        <f>IF(M22="有",IF(AND(N22&lt;&gt;"",O22&lt;&gt;"",J22="RSL"),ROUNDUP(N22*7.5/1000*O22/30,0),ROUNDUP(C22*①店舗情報!$B$11,0)),0)</f>
        <v>0</v>
      </c>
      <c r="AI22" s="5">
        <f t="shared" si="36"/>
        <v>0</v>
      </c>
      <c r="AJ22" s="3" t="e">
        <f t="shared" si="15"/>
        <v>#DIV/0!</v>
      </c>
      <c r="AK22" s="5">
        <f ca="1">ROUNDUP(W22*①店舗情報!$B$23,0)</f>
        <v>0</v>
      </c>
      <c r="AL22" s="5">
        <f>IFERROR(VLOOKUP(A22,③RPP!D:Z,23,FALSE),0)</f>
        <v>0</v>
      </c>
      <c r="AM22" s="1">
        <f t="shared" si="37"/>
        <v>0</v>
      </c>
      <c r="AN22" s="5">
        <f t="shared" ca="1" si="38"/>
        <v>0</v>
      </c>
      <c r="AO22" s="3" t="e">
        <f t="shared" ca="1" si="18"/>
        <v>#DIV/0!</v>
      </c>
      <c r="AP22" s="122" t="e">
        <f>VLOOKUP(A22,④商品別売上データ!B:E,4,FALSE)</f>
        <v>#N/A</v>
      </c>
      <c r="AQ22" s="5" t="e">
        <f t="shared" ca="1" si="19"/>
        <v>#N/A</v>
      </c>
    </row>
    <row r="23" spans="1:43">
      <c r="A23" s="117"/>
      <c r="B23" s="103"/>
      <c r="C23" s="2"/>
      <c r="D23" s="2"/>
      <c r="E23" s="2"/>
      <c r="F23" s="2"/>
      <c r="G23" s="2"/>
      <c r="H23" s="76"/>
      <c r="I23" s="95"/>
      <c r="J23" s="98"/>
      <c r="K23" s="45"/>
      <c r="L23" s="2"/>
      <c r="M23" s="45"/>
      <c r="N23" s="2"/>
      <c r="O23" s="2"/>
      <c r="P23" s="114"/>
      <c r="Q23" s="1">
        <f t="shared" si="0"/>
        <v>0</v>
      </c>
      <c r="R23" s="68" t="e">
        <f t="shared" si="26"/>
        <v>#DIV/0!</v>
      </c>
      <c r="S23" s="3" t="e">
        <f t="shared" si="27"/>
        <v>#DIV/0!</v>
      </c>
      <c r="U23" s="4">
        <f t="shared" si="28"/>
        <v>0</v>
      </c>
      <c r="V23" s="4">
        <f t="shared" si="29"/>
        <v>0</v>
      </c>
      <c r="W23" s="4">
        <f t="shared" si="30"/>
        <v>0</v>
      </c>
      <c r="X23" s="4">
        <f t="shared" si="5"/>
        <v>0</v>
      </c>
      <c r="Y23" s="5">
        <f t="shared" si="31"/>
        <v>0</v>
      </c>
      <c r="Z23" s="3" t="e">
        <f t="shared" si="7"/>
        <v>#DIV/0!</v>
      </c>
      <c r="AA23" s="1">
        <f>IF(J23="送料負担なし",0,IF(F23=1,(VLOOKUP(J23&amp;K23,②送料!$A:$E,3,FALSE)),0))</f>
        <v>0</v>
      </c>
      <c r="AB23" s="5">
        <f t="shared" si="32"/>
        <v>0</v>
      </c>
      <c r="AC23" s="3" t="e">
        <f t="shared" si="9"/>
        <v>#DIV/0!</v>
      </c>
      <c r="AD23" s="1">
        <f t="shared" si="33"/>
        <v>0</v>
      </c>
      <c r="AE23" s="5">
        <f t="shared" si="34"/>
        <v>0</v>
      </c>
      <c r="AF23" s="3" t="e">
        <f t="shared" si="12"/>
        <v>#DIV/0!</v>
      </c>
      <c r="AG23" s="1">
        <f t="shared" si="35"/>
        <v>0</v>
      </c>
      <c r="AH23" s="1">
        <f>IF(M23="有",IF(AND(N23&lt;&gt;"",O23&lt;&gt;"",J23="RSL"),ROUNDUP(N23*7.5/1000*O23/30,0),ROUNDUP(C23*①店舗情報!$B$11,0)),0)</f>
        <v>0</v>
      </c>
      <c r="AI23" s="5">
        <f t="shared" si="36"/>
        <v>0</v>
      </c>
      <c r="AJ23" s="3" t="e">
        <f t="shared" si="15"/>
        <v>#DIV/0!</v>
      </c>
      <c r="AK23" s="5">
        <f ca="1">ROUNDUP(W23*①店舗情報!$B$23,0)</f>
        <v>0</v>
      </c>
      <c r="AL23" s="5">
        <f>IFERROR(VLOOKUP(A23,③RPP!D:Z,23,FALSE),0)</f>
        <v>0</v>
      </c>
      <c r="AM23" s="1">
        <f t="shared" si="37"/>
        <v>0</v>
      </c>
      <c r="AN23" s="5">
        <f t="shared" ca="1" si="38"/>
        <v>0</v>
      </c>
      <c r="AO23" s="3" t="e">
        <f t="shared" ca="1" si="18"/>
        <v>#DIV/0!</v>
      </c>
      <c r="AP23" s="122" t="e">
        <f>VLOOKUP(A23,④商品別売上データ!B:E,4,FALSE)</f>
        <v>#N/A</v>
      </c>
      <c r="AQ23" s="5" t="e">
        <f t="shared" ca="1" si="19"/>
        <v>#N/A</v>
      </c>
    </row>
    <row r="24" spans="1:43">
      <c r="A24" s="117"/>
      <c r="B24" s="103"/>
      <c r="C24" s="2"/>
      <c r="D24" s="2"/>
      <c r="E24" s="2"/>
      <c r="F24" s="2"/>
      <c r="G24" s="2"/>
      <c r="H24" s="76"/>
      <c r="I24" s="95"/>
      <c r="J24" s="98"/>
      <c r="K24" s="45"/>
      <c r="L24" s="2"/>
      <c r="M24" s="45"/>
      <c r="N24" s="2"/>
      <c r="O24" s="2"/>
      <c r="P24" s="114"/>
      <c r="Q24" s="1">
        <f t="shared" si="0"/>
        <v>0</v>
      </c>
      <c r="R24" s="68" t="e">
        <f t="shared" si="26"/>
        <v>#DIV/0!</v>
      </c>
      <c r="S24" s="3" t="e">
        <f t="shared" si="27"/>
        <v>#DIV/0!</v>
      </c>
      <c r="U24" s="4">
        <f t="shared" si="28"/>
        <v>0</v>
      </c>
      <c r="V24" s="4">
        <f t="shared" si="29"/>
        <v>0</v>
      </c>
      <c r="W24" s="4">
        <f t="shared" si="30"/>
        <v>0</v>
      </c>
      <c r="X24" s="4">
        <f t="shared" si="5"/>
        <v>0</v>
      </c>
      <c r="Y24" s="5">
        <f t="shared" si="31"/>
        <v>0</v>
      </c>
      <c r="Z24" s="3" t="e">
        <f t="shared" si="7"/>
        <v>#DIV/0!</v>
      </c>
      <c r="AA24" s="1">
        <f>IF(J24="送料負担なし",0,IF(F24=1,(VLOOKUP(J24&amp;K24,②送料!$A:$E,3,FALSE)),0))</f>
        <v>0</v>
      </c>
      <c r="AB24" s="5">
        <f t="shared" si="32"/>
        <v>0</v>
      </c>
      <c r="AC24" s="3" t="e">
        <f t="shared" si="9"/>
        <v>#DIV/0!</v>
      </c>
      <c r="AD24" s="1">
        <f t="shared" si="33"/>
        <v>0</v>
      </c>
      <c r="AE24" s="5">
        <f t="shared" si="34"/>
        <v>0</v>
      </c>
      <c r="AF24" s="3" t="e">
        <f t="shared" si="12"/>
        <v>#DIV/0!</v>
      </c>
      <c r="AG24" s="1">
        <f t="shared" si="35"/>
        <v>0</v>
      </c>
      <c r="AH24" s="1">
        <f>IF(M24="有",IF(AND(N24&lt;&gt;"",O24&lt;&gt;"",J24="RSL"),ROUNDUP(N24*7.5/1000*O24/30,0),ROUNDUP(C24*①店舗情報!$B$11,0)),0)</f>
        <v>0</v>
      </c>
      <c r="AI24" s="5">
        <f t="shared" si="36"/>
        <v>0</v>
      </c>
      <c r="AJ24" s="3" t="e">
        <f t="shared" si="15"/>
        <v>#DIV/0!</v>
      </c>
      <c r="AK24" s="5">
        <f ca="1">ROUNDUP(W24*①店舗情報!$B$23,0)</f>
        <v>0</v>
      </c>
      <c r="AL24" s="5">
        <f>IFERROR(VLOOKUP(A24,③RPP!D:Z,23,FALSE),0)</f>
        <v>0</v>
      </c>
      <c r="AM24" s="1">
        <f t="shared" si="37"/>
        <v>0</v>
      </c>
      <c r="AN24" s="5">
        <f t="shared" ca="1" si="38"/>
        <v>0</v>
      </c>
      <c r="AO24" s="3" t="e">
        <f t="shared" ca="1" si="18"/>
        <v>#DIV/0!</v>
      </c>
      <c r="AP24" s="122" t="e">
        <f>VLOOKUP(A24,④商品別売上データ!B:E,4,FALSE)</f>
        <v>#N/A</v>
      </c>
      <c r="AQ24" s="5" t="e">
        <f t="shared" ca="1" si="19"/>
        <v>#N/A</v>
      </c>
    </row>
    <row r="25" spans="1:43">
      <c r="A25" s="117"/>
      <c r="B25" s="103"/>
      <c r="C25" s="2"/>
      <c r="D25" s="2"/>
      <c r="E25" s="2"/>
      <c r="F25" s="2"/>
      <c r="G25" s="2"/>
      <c r="H25" s="76"/>
      <c r="I25" s="95"/>
      <c r="J25" s="98"/>
      <c r="K25" s="45"/>
      <c r="L25" s="2"/>
      <c r="M25" s="45"/>
      <c r="N25" s="2"/>
      <c r="O25" s="2"/>
      <c r="P25" s="114"/>
      <c r="Q25" s="1">
        <f t="shared" si="0"/>
        <v>0</v>
      </c>
      <c r="R25" s="68" t="e">
        <f t="shared" si="26"/>
        <v>#DIV/0!</v>
      </c>
      <c r="S25" s="3" t="e">
        <f t="shared" si="27"/>
        <v>#DIV/0!</v>
      </c>
      <c r="U25" s="4">
        <f t="shared" si="28"/>
        <v>0</v>
      </c>
      <c r="V25" s="4">
        <f t="shared" si="29"/>
        <v>0</v>
      </c>
      <c r="W25" s="4">
        <f t="shared" si="30"/>
        <v>0</v>
      </c>
      <c r="X25" s="4">
        <f t="shared" si="5"/>
        <v>0</v>
      </c>
      <c r="Y25" s="5">
        <f t="shared" si="31"/>
        <v>0</v>
      </c>
      <c r="Z25" s="3" t="e">
        <f t="shared" si="7"/>
        <v>#DIV/0!</v>
      </c>
      <c r="AA25" s="1">
        <f>IF(J25="送料負担なし",0,IF(F25=1,(VLOOKUP(J25&amp;K25,②送料!$A:$E,3,FALSE)),0))</f>
        <v>0</v>
      </c>
      <c r="AB25" s="5">
        <f t="shared" si="32"/>
        <v>0</v>
      </c>
      <c r="AC25" s="3" t="e">
        <f t="shared" si="9"/>
        <v>#DIV/0!</v>
      </c>
      <c r="AD25" s="1">
        <f t="shared" si="33"/>
        <v>0</v>
      </c>
      <c r="AE25" s="5">
        <f t="shared" si="34"/>
        <v>0</v>
      </c>
      <c r="AF25" s="3" t="e">
        <f t="shared" si="12"/>
        <v>#DIV/0!</v>
      </c>
      <c r="AG25" s="1">
        <f t="shared" si="35"/>
        <v>0</v>
      </c>
      <c r="AH25" s="1">
        <f>IF(M25="有",IF(AND(N25&lt;&gt;"",O25&lt;&gt;"",J25="RSL"),ROUNDUP(N25*7.5/1000*O25/30,0),ROUNDUP(C25*①店舗情報!$B$11,0)),0)</f>
        <v>0</v>
      </c>
      <c r="AI25" s="5">
        <f t="shared" si="36"/>
        <v>0</v>
      </c>
      <c r="AJ25" s="3" t="e">
        <f t="shared" si="15"/>
        <v>#DIV/0!</v>
      </c>
      <c r="AK25" s="5">
        <f ca="1">ROUNDUP(W25*①店舗情報!$B$23,0)</f>
        <v>0</v>
      </c>
      <c r="AL25" s="5">
        <f>IFERROR(VLOOKUP(A25,③RPP!D:Z,23,FALSE),0)</f>
        <v>0</v>
      </c>
      <c r="AM25" s="1">
        <f t="shared" si="37"/>
        <v>0</v>
      </c>
      <c r="AN25" s="5">
        <f t="shared" ca="1" si="38"/>
        <v>0</v>
      </c>
      <c r="AO25" s="3" t="e">
        <f t="shared" ca="1" si="18"/>
        <v>#DIV/0!</v>
      </c>
      <c r="AP25" s="122" t="e">
        <f>VLOOKUP(A25,④商品別売上データ!B:E,4,FALSE)</f>
        <v>#N/A</v>
      </c>
      <c r="AQ25" s="5" t="e">
        <f t="shared" ca="1" si="19"/>
        <v>#N/A</v>
      </c>
    </row>
    <row r="26" spans="1:43">
      <c r="A26" s="117"/>
      <c r="B26" s="103"/>
      <c r="C26" s="2"/>
      <c r="D26" s="2"/>
      <c r="E26" s="2"/>
      <c r="F26" s="2"/>
      <c r="G26" s="2"/>
      <c r="H26" s="76"/>
      <c r="I26" s="95"/>
      <c r="J26" s="98"/>
      <c r="K26" s="45"/>
      <c r="L26" s="2"/>
      <c r="M26" s="45"/>
      <c r="N26" s="2"/>
      <c r="O26" s="2"/>
      <c r="P26" s="114"/>
      <c r="Q26" s="1">
        <f t="shared" si="0"/>
        <v>0</v>
      </c>
      <c r="R26" s="68" t="e">
        <f t="shared" ref="R26:R36" si="39">P26/C26</f>
        <v>#DIV/0!</v>
      </c>
      <c r="S26" s="3" t="e">
        <f t="shared" ref="S26:S36" si="40">C26/D26</f>
        <v>#DIV/0!</v>
      </c>
      <c r="U26" s="4">
        <f t="shared" ref="U26:U36" si="41">IF(E26=0,C26*1.1,C26)</f>
        <v>0</v>
      </c>
      <c r="V26" s="4">
        <f t="shared" ref="V26:V36" si="42">ROUNDUP(U26*H26+I26,0)</f>
        <v>0</v>
      </c>
      <c r="W26" s="4">
        <f t="shared" ref="W26:W36" si="43">U26-V26</f>
        <v>0</v>
      </c>
      <c r="X26" s="4">
        <f t="shared" si="5"/>
        <v>0</v>
      </c>
      <c r="Y26" s="5">
        <f t="shared" ref="Y26:Y36" si="44">W26-Q26-((W26-X26)-(Q26-P26))</f>
        <v>0</v>
      </c>
      <c r="Z26" s="3" t="e">
        <f t="shared" si="7"/>
        <v>#DIV/0!</v>
      </c>
      <c r="AA26" s="1">
        <f>IF(J26="送料負担なし",0,IF(F26=1,(VLOOKUP(J26&amp;K26,②送料!$A:$E,3,FALSE)),0))</f>
        <v>0</v>
      </c>
      <c r="AB26" s="5">
        <f t="shared" ref="AB26:AB36" si="45">Y26-AA26</f>
        <v>0</v>
      </c>
      <c r="AC26" s="3" t="e">
        <f t="shared" si="9"/>
        <v>#DIV/0!</v>
      </c>
      <c r="AD26" s="1">
        <f t="shared" ref="AD26:AD36" si="46">IF(AND(G26&lt;&gt;"",G26&gt;0),ROUNDUP((G26-1)*0.01*X26,0),0)</f>
        <v>0</v>
      </c>
      <c r="AE26" s="5">
        <f t="shared" ref="AE26:AE36" si="47">AB26-AD26</f>
        <v>0</v>
      </c>
      <c r="AF26" s="3" t="e">
        <f t="shared" si="12"/>
        <v>#DIV/0!</v>
      </c>
      <c r="AG26" s="1">
        <f t="shared" ref="AG26:AG36" si="48">L26</f>
        <v>0</v>
      </c>
      <c r="AH26" s="1">
        <f>IF(M26="有",IF(AND(N26&lt;&gt;"",O26&lt;&gt;"",J26="RSL"),ROUNDUP(N26*7.5/1000*O26/30,0),ROUNDUP(C26*①店舗情報!$B$11,0)),0)</f>
        <v>0</v>
      </c>
      <c r="AI26" s="5">
        <f t="shared" ref="AI26:AI36" si="49">AE26-AG26-AH26</f>
        <v>0</v>
      </c>
      <c r="AJ26" s="3" t="e">
        <f t="shared" si="15"/>
        <v>#DIV/0!</v>
      </c>
      <c r="AK26" s="5">
        <f ca="1">ROUNDUP(W26*①店舗情報!$B$23,0)</f>
        <v>0</v>
      </c>
      <c r="AL26" s="5">
        <f>IFERROR(VLOOKUP(A26,③RPP!D:Z,23,FALSE),0)</f>
        <v>0</v>
      </c>
      <c r="AM26" s="1">
        <f t="shared" ref="AM26:AM36" si="50">IF(OR(H26&gt;0,I26&gt;0),50,0)</f>
        <v>0</v>
      </c>
      <c r="AN26" s="5">
        <f t="shared" ref="AN26:AN36" ca="1" si="51">AE26-AK26-AL26-AM26</f>
        <v>0</v>
      </c>
      <c r="AO26" s="3" t="e">
        <f t="shared" ca="1" si="18"/>
        <v>#DIV/0!</v>
      </c>
      <c r="AP26" s="122" t="e">
        <f>VLOOKUP(A26,④商品別売上データ!B:E,4,FALSE)</f>
        <v>#N/A</v>
      </c>
      <c r="AQ26" s="5" t="e">
        <f t="shared" ca="1" si="19"/>
        <v>#N/A</v>
      </c>
    </row>
    <row r="27" spans="1:43">
      <c r="A27" s="117"/>
      <c r="B27" s="103"/>
      <c r="C27" s="2"/>
      <c r="D27" s="2"/>
      <c r="E27" s="2"/>
      <c r="F27" s="2"/>
      <c r="G27" s="2"/>
      <c r="H27" s="76"/>
      <c r="I27" s="95"/>
      <c r="J27" s="98"/>
      <c r="K27" s="45"/>
      <c r="L27" s="2"/>
      <c r="M27" s="45"/>
      <c r="N27" s="2"/>
      <c r="O27" s="2"/>
      <c r="P27" s="114"/>
      <c r="Q27" s="1">
        <f t="shared" si="0"/>
        <v>0</v>
      </c>
      <c r="R27" s="68" t="e">
        <f t="shared" si="39"/>
        <v>#DIV/0!</v>
      </c>
      <c r="S27" s="3" t="e">
        <f t="shared" si="40"/>
        <v>#DIV/0!</v>
      </c>
      <c r="U27" s="4">
        <f t="shared" si="41"/>
        <v>0</v>
      </c>
      <c r="V27" s="4">
        <f t="shared" si="42"/>
        <v>0</v>
      </c>
      <c r="W27" s="4">
        <f t="shared" si="43"/>
        <v>0</v>
      </c>
      <c r="X27" s="4">
        <f t="shared" si="5"/>
        <v>0</v>
      </c>
      <c r="Y27" s="5">
        <f t="shared" si="44"/>
        <v>0</v>
      </c>
      <c r="Z27" s="3" t="e">
        <f t="shared" si="7"/>
        <v>#DIV/0!</v>
      </c>
      <c r="AA27" s="1">
        <f>IF(J27="送料負担なし",0,IF(F27=1,(VLOOKUP(J27&amp;K27,②送料!$A:$E,3,FALSE)),0))</f>
        <v>0</v>
      </c>
      <c r="AB27" s="5">
        <f t="shared" si="45"/>
        <v>0</v>
      </c>
      <c r="AC27" s="3" t="e">
        <f t="shared" si="9"/>
        <v>#DIV/0!</v>
      </c>
      <c r="AD27" s="1">
        <f t="shared" si="46"/>
        <v>0</v>
      </c>
      <c r="AE27" s="5">
        <f t="shared" si="47"/>
        <v>0</v>
      </c>
      <c r="AF27" s="3" t="e">
        <f t="shared" si="12"/>
        <v>#DIV/0!</v>
      </c>
      <c r="AG27" s="1">
        <f t="shared" si="48"/>
        <v>0</v>
      </c>
      <c r="AH27" s="1">
        <f>IF(M27="有",IF(AND(N27&lt;&gt;"",O27&lt;&gt;"",J27="RSL"),ROUNDUP(N27*7.5/1000*O27/30,0),ROUNDUP(C27*①店舗情報!$B$11,0)),0)</f>
        <v>0</v>
      </c>
      <c r="AI27" s="5">
        <f t="shared" si="49"/>
        <v>0</v>
      </c>
      <c r="AJ27" s="3" t="e">
        <f t="shared" si="15"/>
        <v>#DIV/0!</v>
      </c>
      <c r="AK27" s="5">
        <f ca="1">ROUNDUP(W27*①店舗情報!$B$23,0)</f>
        <v>0</v>
      </c>
      <c r="AL27" s="5">
        <f>IFERROR(VLOOKUP(A27,③RPP!D:Z,23,FALSE),0)</f>
        <v>0</v>
      </c>
      <c r="AM27" s="1">
        <f t="shared" si="50"/>
        <v>0</v>
      </c>
      <c r="AN27" s="5">
        <f t="shared" ca="1" si="51"/>
        <v>0</v>
      </c>
      <c r="AO27" s="3" t="e">
        <f t="shared" ca="1" si="18"/>
        <v>#DIV/0!</v>
      </c>
      <c r="AP27" s="122" t="e">
        <f>VLOOKUP(A27,④商品別売上データ!B:E,4,FALSE)</f>
        <v>#N/A</v>
      </c>
      <c r="AQ27" s="5" t="e">
        <f t="shared" ca="1" si="19"/>
        <v>#N/A</v>
      </c>
    </row>
    <row r="28" spans="1:43">
      <c r="A28" s="111"/>
      <c r="B28" s="103"/>
      <c r="C28" s="2"/>
      <c r="D28" s="2"/>
      <c r="E28" s="2"/>
      <c r="F28" s="2"/>
      <c r="G28" s="2"/>
      <c r="H28" s="76"/>
      <c r="I28" s="95"/>
      <c r="J28" s="98"/>
      <c r="K28" s="45"/>
      <c r="L28" s="2"/>
      <c r="M28" s="45"/>
      <c r="N28" s="2"/>
      <c r="O28" s="2"/>
      <c r="P28" s="114"/>
      <c r="Q28" s="1">
        <f t="shared" si="0"/>
        <v>0</v>
      </c>
      <c r="R28" s="68" t="e">
        <f t="shared" si="39"/>
        <v>#DIV/0!</v>
      </c>
      <c r="S28" s="3" t="e">
        <f t="shared" si="40"/>
        <v>#DIV/0!</v>
      </c>
      <c r="U28" s="4">
        <f t="shared" si="41"/>
        <v>0</v>
      </c>
      <c r="V28" s="4">
        <f t="shared" si="42"/>
        <v>0</v>
      </c>
      <c r="W28" s="4">
        <f t="shared" si="43"/>
        <v>0</v>
      </c>
      <c r="X28" s="4">
        <f t="shared" si="5"/>
        <v>0</v>
      </c>
      <c r="Y28" s="5">
        <f t="shared" si="44"/>
        <v>0</v>
      </c>
      <c r="Z28" s="3" t="e">
        <f t="shared" si="7"/>
        <v>#DIV/0!</v>
      </c>
      <c r="AA28" s="1">
        <f>IF(J28="送料負担なし",0,IF(F28=1,(VLOOKUP(J28&amp;K28,②送料!$A:$E,3,FALSE)),0))</f>
        <v>0</v>
      </c>
      <c r="AB28" s="5">
        <f t="shared" si="45"/>
        <v>0</v>
      </c>
      <c r="AC28" s="3" t="e">
        <f t="shared" si="9"/>
        <v>#DIV/0!</v>
      </c>
      <c r="AD28" s="1">
        <f t="shared" si="46"/>
        <v>0</v>
      </c>
      <c r="AE28" s="5">
        <f t="shared" si="47"/>
        <v>0</v>
      </c>
      <c r="AF28" s="3" t="e">
        <f t="shared" si="12"/>
        <v>#DIV/0!</v>
      </c>
      <c r="AG28" s="1">
        <f t="shared" si="48"/>
        <v>0</v>
      </c>
      <c r="AH28" s="1">
        <f>IF(M28="有",IF(AND(N28&lt;&gt;"",O28&lt;&gt;"",J28="RSL"),ROUNDUP(N28*7.5/1000*O28/30,0),ROUNDUP(C28*①店舗情報!$B$11,0)),0)</f>
        <v>0</v>
      </c>
      <c r="AI28" s="5">
        <f t="shared" si="49"/>
        <v>0</v>
      </c>
      <c r="AJ28" s="3" t="e">
        <f t="shared" si="15"/>
        <v>#DIV/0!</v>
      </c>
      <c r="AK28" s="5">
        <f ca="1">ROUNDUP(W28*①店舗情報!$B$23,0)</f>
        <v>0</v>
      </c>
      <c r="AL28" s="5">
        <f>IFERROR(VLOOKUP(A28,③RPP!D:Z,23,FALSE),0)</f>
        <v>0</v>
      </c>
      <c r="AM28" s="1">
        <f t="shared" si="50"/>
        <v>0</v>
      </c>
      <c r="AN28" s="5">
        <f t="shared" ca="1" si="51"/>
        <v>0</v>
      </c>
      <c r="AO28" s="3" t="e">
        <f t="shared" ca="1" si="18"/>
        <v>#DIV/0!</v>
      </c>
      <c r="AP28" s="122" t="e">
        <f>VLOOKUP(A28,④商品別売上データ!B:E,4,FALSE)</f>
        <v>#N/A</v>
      </c>
      <c r="AQ28" s="5" t="e">
        <f t="shared" ca="1" si="19"/>
        <v>#N/A</v>
      </c>
    </row>
    <row r="29" spans="1:43">
      <c r="A29" s="111"/>
      <c r="B29" s="103"/>
      <c r="C29" s="2"/>
      <c r="D29" s="2"/>
      <c r="E29" s="2"/>
      <c r="F29" s="2"/>
      <c r="G29" s="2"/>
      <c r="H29" s="76"/>
      <c r="I29" s="95"/>
      <c r="J29" s="98"/>
      <c r="K29" s="45"/>
      <c r="L29" s="2"/>
      <c r="M29" s="45"/>
      <c r="N29" s="2"/>
      <c r="O29" s="2"/>
      <c r="P29" s="114"/>
      <c r="Q29" s="1">
        <f t="shared" si="0"/>
        <v>0</v>
      </c>
      <c r="R29" s="68" t="e">
        <f t="shared" si="39"/>
        <v>#DIV/0!</v>
      </c>
      <c r="S29" s="3" t="e">
        <f t="shared" si="40"/>
        <v>#DIV/0!</v>
      </c>
      <c r="U29" s="4">
        <f t="shared" si="41"/>
        <v>0</v>
      </c>
      <c r="V29" s="4">
        <f t="shared" si="42"/>
        <v>0</v>
      </c>
      <c r="W29" s="4">
        <f t="shared" si="43"/>
        <v>0</v>
      </c>
      <c r="X29" s="4">
        <f t="shared" si="5"/>
        <v>0</v>
      </c>
      <c r="Y29" s="5">
        <f t="shared" si="44"/>
        <v>0</v>
      </c>
      <c r="Z29" s="3" t="e">
        <f t="shared" si="7"/>
        <v>#DIV/0!</v>
      </c>
      <c r="AA29" s="1">
        <f>IF(J29="送料負担なし",0,IF(F29=1,(VLOOKUP(J29&amp;K29,②送料!$A:$E,3,FALSE)),0))</f>
        <v>0</v>
      </c>
      <c r="AB29" s="5">
        <f t="shared" si="45"/>
        <v>0</v>
      </c>
      <c r="AC29" s="3" t="e">
        <f t="shared" si="9"/>
        <v>#DIV/0!</v>
      </c>
      <c r="AD29" s="1">
        <f t="shared" si="46"/>
        <v>0</v>
      </c>
      <c r="AE29" s="5">
        <f t="shared" si="47"/>
        <v>0</v>
      </c>
      <c r="AF29" s="3" t="e">
        <f t="shared" si="12"/>
        <v>#DIV/0!</v>
      </c>
      <c r="AG29" s="1">
        <f t="shared" si="48"/>
        <v>0</v>
      </c>
      <c r="AH29" s="1">
        <f>IF(M29="有",IF(AND(N29&lt;&gt;"",O29&lt;&gt;"",J29="RSL"),ROUNDUP(N29*7.5/1000*O29/30,0),ROUNDUP(C29*①店舗情報!$B$11,0)),0)</f>
        <v>0</v>
      </c>
      <c r="AI29" s="5">
        <f t="shared" si="49"/>
        <v>0</v>
      </c>
      <c r="AJ29" s="3" t="e">
        <f t="shared" si="15"/>
        <v>#DIV/0!</v>
      </c>
      <c r="AK29" s="5">
        <f ca="1">ROUNDUP(W29*①店舗情報!$B$23,0)</f>
        <v>0</v>
      </c>
      <c r="AL29" s="5">
        <f>IFERROR(VLOOKUP(A29,③RPP!D:Z,23,FALSE),0)</f>
        <v>0</v>
      </c>
      <c r="AM29" s="1">
        <f t="shared" si="50"/>
        <v>0</v>
      </c>
      <c r="AN29" s="5">
        <f t="shared" ca="1" si="51"/>
        <v>0</v>
      </c>
      <c r="AO29" s="3" t="e">
        <f t="shared" ca="1" si="18"/>
        <v>#DIV/0!</v>
      </c>
      <c r="AP29" s="122" t="e">
        <f>VLOOKUP(A29,④商品別売上データ!B:E,4,FALSE)</f>
        <v>#N/A</v>
      </c>
      <c r="AQ29" s="5" t="e">
        <f t="shared" ca="1" si="19"/>
        <v>#N/A</v>
      </c>
    </row>
    <row r="30" spans="1:43">
      <c r="A30" s="111"/>
      <c r="B30" s="103"/>
      <c r="C30" s="2"/>
      <c r="D30" s="2"/>
      <c r="E30" s="2"/>
      <c r="F30" s="2"/>
      <c r="G30" s="2"/>
      <c r="H30" s="76"/>
      <c r="I30" s="95"/>
      <c r="J30" s="98"/>
      <c r="K30" s="45"/>
      <c r="L30" s="2"/>
      <c r="M30" s="45"/>
      <c r="N30" s="2"/>
      <c r="O30" s="2"/>
      <c r="P30" s="114"/>
      <c r="Q30" s="1">
        <f t="shared" si="0"/>
        <v>0</v>
      </c>
      <c r="R30" s="68" t="e">
        <f t="shared" si="39"/>
        <v>#DIV/0!</v>
      </c>
      <c r="S30" s="3" t="e">
        <f t="shared" si="40"/>
        <v>#DIV/0!</v>
      </c>
      <c r="U30" s="4">
        <f t="shared" si="41"/>
        <v>0</v>
      </c>
      <c r="V30" s="4">
        <f t="shared" si="42"/>
        <v>0</v>
      </c>
      <c r="W30" s="4">
        <f t="shared" si="43"/>
        <v>0</v>
      </c>
      <c r="X30" s="4">
        <f t="shared" si="5"/>
        <v>0</v>
      </c>
      <c r="Y30" s="5">
        <f t="shared" si="44"/>
        <v>0</v>
      </c>
      <c r="Z30" s="3" t="e">
        <f t="shared" si="7"/>
        <v>#DIV/0!</v>
      </c>
      <c r="AA30" s="1">
        <f>IF(J30="送料負担なし",0,IF(F30=1,(VLOOKUP(J30&amp;K30,②送料!$A:$E,3,FALSE)),0))</f>
        <v>0</v>
      </c>
      <c r="AB30" s="5">
        <f t="shared" si="45"/>
        <v>0</v>
      </c>
      <c r="AC30" s="3" t="e">
        <f t="shared" si="9"/>
        <v>#DIV/0!</v>
      </c>
      <c r="AD30" s="1">
        <f t="shared" si="46"/>
        <v>0</v>
      </c>
      <c r="AE30" s="5">
        <f t="shared" si="47"/>
        <v>0</v>
      </c>
      <c r="AF30" s="3" t="e">
        <f t="shared" si="12"/>
        <v>#DIV/0!</v>
      </c>
      <c r="AG30" s="1">
        <f t="shared" si="48"/>
        <v>0</v>
      </c>
      <c r="AH30" s="1">
        <f>IF(M30="有",IF(AND(N30&lt;&gt;"",O30&lt;&gt;"",J30="RSL"),ROUNDUP(N30*7.5/1000*O30/30,0),ROUNDUP(C30*①店舗情報!$B$11,0)),0)</f>
        <v>0</v>
      </c>
      <c r="AI30" s="5">
        <f t="shared" si="49"/>
        <v>0</v>
      </c>
      <c r="AJ30" s="3" t="e">
        <f t="shared" si="15"/>
        <v>#DIV/0!</v>
      </c>
      <c r="AK30" s="5">
        <f ca="1">ROUNDUP(W30*①店舗情報!$B$23,0)</f>
        <v>0</v>
      </c>
      <c r="AL30" s="5">
        <f>IFERROR(VLOOKUP(A30,③RPP!D:Z,23,FALSE),0)</f>
        <v>0</v>
      </c>
      <c r="AM30" s="1">
        <f t="shared" si="50"/>
        <v>0</v>
      </c>
      <c r="AN30" s="5">
        <f t="shared" ca="1" si="51"/>
        <v>0</v>
      </c>
      <c r="AO30" s="3" t="e">
        <f t="shared" ca="1" si="18"/>
        <v>#DIV/0!</v>
      </c>
      <c r="AP30" s="122" t="e">
        <f>VLOOKUP(A30,④商品別売上データ!B:E,4,FALSE)</f>
        <v>#N/A</v>
      </c>
      <c r="AQ30" s="5" t="e">
        <f t="shared" ca="1" si="19"/>
        <v>#N/A</v>
      </c>
    </row>
    <row r="31" spans="1:43">
      <c r="A31" s="111"/>
      <c r="B31" s="103"/>
      <c r="C31" s="2"/>
      <c r="D31" s="2"/>
      <c r="E31" s="2"/>
      <c r="F31" s="2"/>
      <c r="G31" s="2"/>
      <c r="H31" s="76"/>
      <c r="I31" s="95"/>
      <c r="J31" s="98"/>
      <c r="K31" s="45"/>
      <c r="L31" s="2"/>
      <c r="M31" s="45"/>
      <c r="N31" s="2"/>
      <c r="O31" s="2"/>
      <c r="P31" s="114"/>
      <c r="Q31" s="1">
        <f t="shared" si="0"/>
        <v>0</v>
      </c>
      <c r="R31" s="68" t="e">
        <f t="shared" si="39"/>
        <v>#DIV/0!</v>
      </c>
      <c r="S31" s="3" t="e">
        <f t="shared" si="40"/>
        <v>#DIV/0!</v>
      </c>
      <c r="U31" s="4">
        <f t="shared" si="41"/>
        <v>0</v>
      </c>
      <c r="V31" s="4">
        <f t="shared" si="42"/>
        <v>0</v>
      </c>
      <c r="W31" s="4">
        <f t="shared" si="43"/>
        <v>0</v>
      </c>
      <c r="X31" s="4">
        <f t="shared" si="5"/>
        <v>0</v>
      </c>
      <c r="Y31" s="5">
        <f t="shared" si="44"/>
        <v>0</v>
      </c>
      <c r="Z31" s="3" t="e">
        <f t="shared" si="7"/>
        <v>#DIV/0!</v>
      </c>
      <c r="AA31" s="1">
        <f>IF(J31="送料負担なし",0,IF(F31=1,(VLOOKUP(J31&amp;K31,②送料!$A:$E,3,FALSE)),0))</f>
        <v>0</v>
      </c>
      <c r="AB31" s="5">
        <f t="shared" si="45"/>
        <v>0</v>
      </c>
      <c r="AC31" s="3" t="e">
        <f t="shared" si="9"/>
        <v>#DIV/0!</v>
      </c>
      <c r="AD31" s="1">
        <f t="shared" si="46"/>
        <v>0</v>
      </c>
      <c r="AE31" s="5">
        <f t="shared" si="47"/>
        <v>0</v>
      </c>
      <c r="AF31" s="3" t="e">
        <f t="shared" si="12"/>
        <v>#DIV/0!</v>
      </c>
      <c r="AG31" s="1">
        <f t="shared" si="48"/>
        <v>0</v>
      </c>
      <c r="AH31" s="1">
        <f>IF(M31="有",IF(AND(N31&lt;&gt;"",O31&lt;&gt;"",J31="RSL"),ROUNDUP(N31*7.5/1000*O31/30,0),ROUNDUP(C31*①店舗情報!$B$11,0)),0)</f>
        <v>0</v>
      </c>
      <c r="AI31" s="5">
        <f t="shared" si="49"/>
        <v>0</v>
      </c>
      <c r="AJ31" s="3" t="e">
        <f t="shared" si="15"/>
        <v>#DIV/0!</v>
      </c>
      <c r="AK31" s="5">
        <f ca="1">ROUNDUP(W31*①店舗情報!$B$23,0)</f>
        <v>0</v>
      </c>
      <c r="AL31" s="5">
        <f>IFERROR(VLOOKUP(A31,③RPP!D:Z,23,FALSE),0)</f>
        <v>0</v>
      </c>
      <c r="AM31" s="1">
        <f t="shared" si="50"/>
        <v>0</v>
      </c>
      <c r="AN31" s="5">
        <f t="shared" ca="1" si="51"/>
        <v>0</v>
      </c>
      <c r="AO31" s="3" t="e">
        <f t="shared" ca="1" si="18"/>
        <v>#DIV/0!</v>
      </c>
      <c r="AP31" s="122" t="e">
        <f>VLOOKUP(A31,④商品別売上データ!B:E,4,FALSE)</f>
        <v>#N/A</v>
      </c>
      <c r="AQ31" s="5" t="e">
        <f t="shared" ca="1" si="19"/>
        <v>#N/A</v>
      </c>
    </row>
    <row r="32" spans="1:43">
      <c r="A32" s="111"/>
      <c r="B32" s="103"/>
      <c r="C32" s="2"/>
      <c r="D32" s="2"/>
      <c r="E32" s="2"/>
      <c r="F32" s="2"/>
      <c r="G32" s="2"/>
      <c r="H32" s="76"/>
      <c r="I32" s="95"/>
      <c r="J32" s="98"/>
      <c r="K32" s="45"/>
      <c r="L32" s="2"/>
      <c r="M32" s="45"/>
      <c r="N32" s="2"/>
      <c r="O32" s="2"/>
      <c r="P32" s="114"/>
      <c r="Q32" s="1">
        <f t="shared" si="0"/>
        <v>0</v>
      </c>
      <c r="R32" s="68" t="e">
        <f t="shared" si="39"/>
        <v>#DIV/0!</v>
      </c>
      <c r="S32" s="3" t="e">
        <f t="shared" si="40"/>
        <v>#DIV/0!</v>
      </c>
      <c r="U32" s="4">
        <f t="shared" si="41"/>
        <v>0</v>
      </c>
      <c r="V32" s="4">
        <f t="shared" si="42"/>
        <v>0</v>
      </c>
      <c r="W32" s="4">
        <f t="shared" si="43"/>
        <v>0</v>
      </c>
      <c r="X32" s="4">
        <f t="shared" si="5"/>
        <v>0</v>
      </c>
      <c r="Y32" s="5">
        <f t="shared" si="44"/>
        <v>0</v>
      </c>
      <c r="Z32" s="3" t="e">
        <f t="shared" si="7"/>
        <v>#DIV/0!</v>
      </c>
      <c r="AA32" s="1">
        <f>IF(J32="送料負担なし",0,IF(F32=1,(VLOOKUP(J32&amp;K32,②送料!$A:$E,3,FALSE)),0))</f>
        <v>0</v>
      </c>
      <c r="AB32" s="5">
        <f t="shared" si="45"/>
        <v>0</v>
      </c>
      <c r="AC32" s="3" t="e">
        <f t="shared" si="9"/>
        <v>#DIV/0!</v>
      </c>
      <c r="AD32" s="1">
        <f t="shared" si="46"/>
        <v>0</v>
      </c>
      <c r="AE32" s="5">
        <f t="shared" si="47"/>
        <v>0</v>
      </c>
      <c r="AF32" s="3" t="e">
        <f t="shared" si="12"/>
        <v>#DIV/0!</v>
      </c>
      <c r="AG32" s="1">
        <f t="shared" si="48"/>
        <v>0</v>
      </c>
      <c r="AH32" s="1">
        <f>IF(M32="有",IF(AND(N32&lt;&gt;"",O32&lt;&gt;"",J32="RSL"),ROUNDUP(N32*7.5/1000*O32/30,0),ROUNDUP(C32*①店舗情報!$B$11,0)),0)</f>
        <v>0</v>
      </c>
      <c r="AI32" s="5">
        <f t="shared" si="49"/>
        <v>0</v>
      </c>
      <c r="AJ32" s="3" t="e">
        <f t="shared" si="15"/>
        <v>#DIV/0!</v>
      </c>
      <c r="AK32" s="5">
        <f ca="1">ROUNDUP(W32*①店舗情報!$B$23,0)</f>
        <v>0</v>
      </c>
      <c r="AL32" s="5">
        <f>IFERROR(VLOOKUP(A32,③RPP!D:Z,23,FALSE),0)</f>
        <v>0</v>
      </c>
      <c r="AM32" s="1">
        <f t="shared" si="50"/>
        <v>0</v>
      </c>
      <c r="AN32" s="5">
        <f t="shared" ca="1" si="51"/>
        <v>0</v>
      </c>
      <c r="AO32" s="3" t="e">
        <f t="shared" ca="1" si="18"/>
        <v>#DIV/0!</v>
      </c>
      <c r="AP32" s="122" t="e">
        <f>VLOOKUP(A32,④商品別売上データ!B:E,4,FALSE)</f>
        <v>#N/A</v>
      </c>
      <c r="AQ32" s="5" t="e">
        <f t="shared" ca="1" si="19"/>
        <v>#N/A</v>
      </c>
    </row>
    <row r="33" spans="1:43">
      <c r="A33" s="111"/>
      <c r="B33" s="103"/>
      <c r="C33" s="2"/>
      <c r="D33" s="2"/>
      <c r="E33" s="2"/>
      <c r="F33" s="2"/>
      <c r="G33" s="2"/>
      <c r="H33" s="76"/>
      <c r="I33" s="95"/>
      <c r="J33" s="98"/>
      <c r="K33" s="45"/>
      <c r="L33" s="2"/>
      <c r="M33" s="45"/>
      <c r="N33" s="2"/>
      <c r="O33" s="2"/>
      <c r="P33" s="114"/>
      <c r="Q33" s="1">
        <f t="shared" si="0"/>
        <v>0</v>
      </c>
      <c r="R33" s="68" t="e">
        <f t="shared" si="39"/>
        <v>#DIV/0!</v>
      </c>
      <c r="S33" s="3" t="e">
        <f t="shared" si="40"/>
        <v>#DIV/0!</v>
      </c>
      <c r="U33" s="4">
        <f t="shared" si="41"/>
        <v>0</v>
      </c>
      <c r="V33" s="4">
        <f t="shared" si="42"/>
        <v>0</v>
      </c>
      <c r="W33" s="4">
        <f t="shared" si="43"/>
        <v>0</v>
      </c>
      <c r="X33" s="4">
        <f t="shared" si="5"/>
        <v>0</v>
      </c>
      <c r="Y33" s="5">
        <f t="shared" si="44"/>
        <v>0</v>
      </c>
      <c r="Z33" s="3" t="e">
        <f t="shared" si="7"/>
        <v>#DIV/0!</v>
      </c>
      <c r="AA33" s="1">
        <f>IF(J33="送料負担なし",0,IF(F33=1,(VLOOKUP(J33&amp;K33,②送料!$A:$E,3,FALSE)),0))</f>
        <v>0</v>
      </c>
      <c r="AB33" s="5">
        <f t="shared" si="45"/>
        <v>0</v>
      </c>
      <c r="AC33" s="3" t="e">
        <f t="shared" si="9"/>
        <v>#DIV/0!</v>
      </c>
      <c r="AD33" s="1">
        <f t="shared" si="46"/>
        <v>0</v>
      </c>
      <c r="AE33" s="5">
        <f t="shared" si="47"/>
        <v>0</v>
      </c>
      <c r="AF33" s="3" t="e">
        <f t="shared" si="12"/>
        <v>#DIV/0!</v>
      </c>
      <c r="AG33" s="1">
        <f t="shared" si="48"/>
        <v>0</v>
      </c>
      <c r="AH33" s="1">
        <f>IF(M33="有",IF(AND(N33&lt;&gt;"",O33&lt;&gt;"",J33="RSL"),ROUNDUP(N33*7.5/1000*O33/30,0),ROUNDUP(C33*①店舗情報!$B$11,0)),0)</f>
        <v>0</v>
      </c>
      <c r="AI33" s="5">
        <f t="shared" si="49"/>
        <v>0</v>
      </c>
      <c r="AJ33" s="3" t="e">
        <f t="shared" si="15"/>
        <v>#DIV/0!</v>
      </c>
      <c r="AK33" s="5">
        <f ca="1">ROUNDUP(W33*①店舗情報!$B$23,0)</f>
        <v>0</v>
      </c>
      <c r="AL33" s="5">
        <f>IFERROR(VLOOKUP(A33,③RPP!D:Z,23,FALSE),0)</f>
        <v>0</v>
      </c>
      <c r="AM33" s="1">
        <f t="shared" si="50"/>
        <v>0</v>
      </c>
      <c r="AN33" s="5">
        <f t="shared" ca="1" si="51"/>
        <v>0</v>
      </c>
      <c r="AO33" s="3" t="e">
        <f t="shared" ca="1" si="18"/>
        <v>#DIV/0!</v>
      </c>
      <c r="AP33" s="122" t="e">
        <f>VLOOKUP(A33,④商品別売上データ!B:E,4,FALSE)</f>
        <v>#N/A</v>
      </c>
      <c r="AQ33" s="5" t="e">
        <f t="shared" ca="1" si="19"/>
        <v>#N/A</v>
      </c>
    </row>
    <row r="34" spans="1:43">
      <c r="A34" s="111"/>
      <c r="B34" s="103"/>
      <c r="C34" s="2"/>
      <c r="D34" s="2"/>
      <c r="E34" s="2"/>
      <c r="F34" s="2"/>
      <c r="G34" s="2"/>
      <c r="H34" s="76"/>
      <c r="I34" s="95"/>
      <c r="J34" s="98"/>
      <c r="K34" s="45"/>
      <c r="L34" s="2"/>
      <c r="M34" s="45"/>
      <c r="N34" s="2"/>
      <c r="O34" s="2"/>
      <c r="P34" s="114"/>
      <c r="Q34" s="1">
        <f t="shared" si="0"/>
        <v>0</v>
      </c>
      <c r="R34" s="68" t="e">
        <f t="shared" si="39"/>
        <v>#DIV/0!</v>
      </c>
      <c r="S34" s="3" t="e">
        <f t="shared" si="40"/>
        <v>#DIV/0!</v>
      </c>
      <c r="U34" s="4">
        <f t="shared" si="41"/>
        <v>0</v>
      </c>
      <c r="V34" s="4">
        <f t="shared" si="42"/>
        <v>0</v>
      </c>
      <c r="W34" s="4">
        <f t="shared" si="43"/>
        <v>0</v>
      </c>
      <c r="X34" s="4">
        <f t="shared" si="5"/>
        <v>0</v>
      </c>
      <c r="Y34" s="5">
        <f t="shared" si="44"/>
        <v>0</v>
      </c>
      <c r="Z34" s="3" t="e">
        <f t="shared" si="7"/>
        <v>#DIV/0!</v>
      </c>
      <c r="AA34" s="1">
        <f>IF(J34="送料負担なし",0,IF(F34=1,(VLOOKUP(J34&amp;K34,②送料!$A:$E,3,FALSE)),0))</f>
        <v>0</v>
      </c>
      <c r="AB34" s="5">
        <f t="shared" si="45"/>
        <v>0</v>
      </c>
      <c r="AC34" s="3" t="e">
        <f t="shared" si="9"/>
        <v>#DIV/0!</v>
      </c>
      <c r="AD34" s="1">
        <f t="shared" si="46"/>
        <v>0</v>
      </c>
      <c r="AE34" s="5">
        <f t="shared" si="47"/>
        <v>0</v>
      </c>
      <c r="AF34" s="3" t="e">
        <f t="shared" si="12"/>
        <v>#DIV/0!</v>
      </c>
      <c r="AG34" s="1">
        <f t="shared" si="48"/>
        <v>0</v>
      </c>
      <c r="AH34" s="1">
        <f>IF(M34="有",IF(AND(N34&lt;&gt;"",O34&lt;&gt;"",J34="RSL"),ROUNDUP(N34*7.5/1000*O34/30,0),ROUNDUP(C34*①店舗情報!$B$11,0)),0)</f>
        <v>0</v>
      </c>
      <c r="AI34" s="5">
        <f t="shared" si="49"/>
        <v>0</v>
      </c>
      <c r="AJ34" s="3" t="e">
        <f t="shared" si="15"/>
        <v>#DIV/0!</v>
      </c>
      <c r="AK34" s="5">
        <f ca="1">ROUNDUP(W34*①店舗情報!$B$23,0)</f>
        <v>0</v>
      </c>
      <c r="AL34" s="5">
        <f>IFERROR(VLOOKUP(A34,③RPP!D:Z,23,FALSE),0)</f>
        <v>0</v>
      </c>
      <c r="AM34" s="1">
        <f t="shared" si="50"/>
        <v>0</v>
      </c>
      <c r="AN34" s="5">
        <f t="shared" ca="1" si="51"/>
        <v>0</v>
      </c>
      <c r="AO34" s="3" t="e">
        <f t="shared" ca="1" si="18"/>
        <v>#DIV/0!</v>
      </c>
      <c r="AP34" s="122" t="e">
        <f>VLOOKUP(A34,④商品別売上データ!B:E,4,FALSE)</f>
        <v>#N/A</v>
      </c>
      <c r="AQ34" s="5" t="e">
        <f t="shared" ca="1" si="19"/>
        <v>#N/A</v>
      </c>
    </row>
    <row r="35" spans="1:43">
      <c r="A35" s="111"/>
      <c r="B35" s="103"/>
      <c r="C35" s="2"/>
      <c r="D35" s="2"/>
      <c r="E35" s="2"/>
      <c r="F35" s="2"/>
      <c r="G35" s="2"/>
      <c r="H35" s="76"/>
      <c r="I35" s="95"/>
      <c r="J35" s="98"/>
      <c r="K35" s="45"/>
      <c r="L35" s="2"/>
      <c r="M35" s="45"/>
      <c r="N35" s="2"/>
      <c r="O35" s="2"/>
      <c r="P35" s="114"/>
      <c r="Q35" s="1">
        <f t="shared" si="0"/>
        <v>0</v>
      </c>
      <c r="R35" s="68" t="e">
        <f t="shared" si="39"/>
        <v>#DIV/0!</v>
      </c>
      <c r="S35" s="3" t="e">
        <f t="shared" si="40"/>
        <v>#DIV/0!</v>
      </c>
      <c r="U35" s="4">
        <f t="shared" si="41"/>
        <v>0</v>
      </c>
      <c r="V35" s="4">
        <f t="shared" si="42"/>
        <v>0</v>
      </c>
      <c r="W35" s="4">
        <f t="shared" si="43"/>
        <v>0</v>
      </c>
      <c r="X35" s="4">
        <f t="shared" si="5"/>
        <v>0</v>
      </c>
      <c r="Y35" s="5">
        <f t="shared" si="44"/>
        <v>0</v>
      </c>
      <c r="Z35" s="3" t="e">
        <f t="shared" si="7"/>
        <v>#DIV/0!</v>
      </c>
      <c r="AA35" s="1">
        <f>IF(J35="送料負担なし",0,IF(F35=1,(VLOOKUP(J35&amp;K35,②送料!$A:$E,3,FALSE)),0))</f>
        <v>0</v>
      </c>
      <c r="AB35" s="5">
        <f t="shared" si="45"/>
        <v>0</v>
      </c>
      <c r="AC35" s="3" t="e">
        <f t="shared" si="9"/>
        <v>#DIV/0!</v>
      </c>
      <c r="AD35" s="1">
        <f t="shared" si="46"/>
        <v>0</v>
      </c>
      <c r="AE35" s="5">
        <f t="shared" si="47"/>
        <v>0</v>
      </c>
      <c r="AF35" s="3" t="e">
        <f t="shared" si="12"/>
        <v>#DIV/0!</v>
      </c>
      <c r="AG35" s="1">
        <f t="shared" si="48"/>
        <v>0</v>
      </c>
      <c r="AH35" s="1">
        <f>IF(M35="有",IF(AND(N35&lt;&gt;"",O35&lt;&gt;"",J35="RSL"),ROUNDUP(N35*7.5/1000*O35/30,0),ROUNDUP(C35*①店舗情報!$B$11,0)),0)</f>
        <v>0</v>
      </c>
      <c r="AI35" s="5">
        <f t="shared" si="49"/>
        <v>0</v>
      </c>
      <c r="AJ35" s="3" t="e">
        <f t="shared" si="15"/>
        <v>#DIV/0!</v>
      </c>
      <c r="AK35" s="5">
        <f ca="1">ROUNDUP(W35*①店舗情報!$B$23,0)</f>
        <v>0</v>
      </c>
      <c r="AL35" s="5">
        <f>IFERROR(VLOOKUP(A35,③RPP!D:Z,23,FALSE),0)</f>
        <v>0</v>
      </c>
      <c r="AM35" s="1">
        <f t="shared" si="50"/>
        <v>0</v>
      </c>
      <c r="AN35" s="5">
        <f t="shared" ca="1" si="51"/>
        <v>0</v>
      </c>
      <c r="AO35" s="3" t="e">
        <f t="shared" ca="1" si="18"/>
        <v>#DIV/0!</v>
      </c>
      <c r="AP35" s="122" t="e">
        <f>VLOOKUP(A35,④商品別売上データ!B:E,4,FALSE)</f>
        <v>#N/A</v>
      </c>
      <c r="AQ35" s="5" t="e">
        <f t="shared" ca="1" si="19"/>
        <v>#N/A</v>
      </c>
    </row>
    <row r="36" spans="1:43">
      <c r="A36" s="111"/>
      <c r="B36" s="103"/>
      <c r="C36" s="2"/>
      <c r="D36" s="2"/>
      <c r="E36" s="2"/>
      <c r="F36" s="2"/>
      <c r="G36" s="2"/>
      <c r="H36" s="76"/>
      <c r="I36" s="95"/>
      <c r="J36" s="98"/>
      <c r="K36" s="45"/>
      <c r="L36" s="2"/>
      <c r="M36" s="45"/>
      <c r="N36" s="2"/>
      <c r="O36" s="2"/>
      <c r="P36" s="114"/>
      <c r="Q36" s="1">
        <f t="shared" si="0"/>
        <v>0</v>
      </c>
      <c r="R36" s="68" t="e">
        <f t="shared" si="39"/>
        <v>#DIV/0!</v>
      </c>
      <c r="S36" s="3" t="e">
        <f t="shared" si="40"/>
        <v>#DIV/0!</v>
      </c>
      <c r="U36" s="4">
        <f t="shared" si="41"/>
        <v>0</v>
      </c>
      <c r="V36" s="4">
        <f t="shared" si="42"/>
        <v>0</v>
      </c>
      <c r="W36" s="4">
        <f t="shared" si="43"/>
        <v>0</v>
      </c>
      <c r="X36" s="4">
        <f t="shared" si="5"/>
        <v>0</v>
      </c>
      <c r="Y36" s="5">
        <f t="shared" si="44"/>
        <v>0</v>
      </c>
      <c r="Z36" s="3" t="e">
        <f t="shared" si="7"/>
        <v>#DIV/0!</v>
      </c>
      <c r="AA36" s="1">
        <f>IF(J36="送料負担なし",0,IF(F36=1,(VLOOKUP(J36&amp;K36,②送料!$A:$E,3,FALSE)),0))</f>
        <v>0</v>
      </c>
      <c r="AB36" s="5">
        <f t="shared" si="45"/>
        <v>0</v>
      </c>
      <c r="AC36" s="3" t="e">
        <f t="shared" si="9"/>
        <v>#DIV/0!</v>
      </c>
      <c r="AD36" s="1">
        <f t="shared" si="46"/>
        <v>0</v>
      </c>
      <c r="AE36" s="5">
        <f t="shared" si="47"/>
        <v>0</v>
      </c>
      <c r="AF36" s="3" t="e">
        <f t="shared" si="12"/>
        <v>#DIV/0!</v>
      </c>
      <c r="AG36" s="1">
        <f t="shared" si="48"/>
        <v>0</v>
      </c>
      <c r="AH36" s="1">
        <f>IF(M36="有",IF(AND(N36&lt;&gt;"",O36&lt;&gt;"",J36="RSL"),ROUNDUP(N36*7.5/1000*O36/30,0),ROUNDUP(C36*①店舗情報!$B$11,0)),0)</f>
        <v>0</v>
      </c>
      <c r="AI36" s="5">
        <f t="shared" si="49"/>
        <v>0</v>
      </c>
      <c r="AJ36" s="3" t="e">
        <f t="shared" si="15"/>
        <v>#DIV/0!</v>
      </c>
      <c r="AK36" s="5">
        <f ca="1">ROUNDUP(W36*①店舗情報!$B$23,0)</f>
        <v>0</v>
      </c>
      <c r="AL36" s="5">
        <f>IFERROR(VLOOKUP(A36,③RPP!D:Z,23,FALSE),0)</f>
        <v>0</v>
      </c>
      <c r="AM36" s="1">
        <f t="shared" si="50"/>
        <v>0</v>
      </c>
      <c r="AN36" s="5">
        <f t="shared" ca="1" si="51"/>
        <v>0</v>
      </c>
      <c r="AO36" s="3" t="e">
        <f t="shared" ca="1" si="18"/>
        <v>#DIV/0!</v>
      </c>
      <c r="AP36" s="122" t="e">
        <f>VLOOKUP(A36,④商品別売上データ!B:E,4,FALSE)</f>
        <v>#N/A</v>
      </c>
      <c r="AQ36" s="5" t="e">
        <f t="shared" ca="1" si="19"/>
        <v>#N/A</v>
      </c>
    </row>
  </sheetData>
  <autoFilter ref="A1:AP1" xr:uid="{5DFAC7E2-8824-4305-ABD9-501DA913DA32}"/>
  <phoneticPr fontId="1"/>
  <conditionalFormatting sqref="AN1:AO1048576">
    <cfRule type="cellIs" dxfId="3" priority="2" operator="lessThan">
      <formula>0</formula>
    </cfRule>
  </conditionalFormatting>
  <conditionalFormatting sqref="AQ1:AQ1048576">
    <cfRule type="cellIs" dxfId="2" priority="1" operator="lessThan">
      <formula>0</formula>
    </cfRule>
  </conditionalFormatting>
  <dataValidations count="3">
    <dataValidation type="list" allowBlank="1" showInputMessage="1" showErrorMessage="1" sqref="M2:M36" xr:uid="{5DE397A8-184B-4D19-968D-973DC11BFECF}">
      <formula1>"有,無"</formula1>
    </dataValidation>
    <dataValidation type="list" allowBlank="1" showInputMessage="1" showErrorMessage="1" sqref="J2:J36" xr:uid="{D5D278C6-576B-46CF-B9CA-869126E8970C}">
      <formula1>"宅配便,RSL,メール便,定形外郵便規格内,定形外郵便規格外,宅急便コンパクト,送料負担なし"</formula1>
    </dataValidation>
    <dataValidation type="list" allowBlank="1" showInputMessage="1" showErrorMessage="1" sqref="K2:K36" xr:uid="{434ED87E-86D0-48B2-8C88-D22CB6E1E8BA}">
      <formula1>INDIRECT(J2)</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E8BBC-1DA4-4DFB-8E31-1EF2A4406C0C}">
  <sheetPr>
    <tabColor rgb="FFFFC000"/>
  </sheetPr>
  <dimension ref="A1:AO5"/>
  <sheetViews>
    <sheetView tabSelected="1" zoomScale="70" zoomScaleNormal="70" workbookViewId="0">
      <selection activeCell="D3" sqref="D3"/>
    </sheetView>
  </sheetViews>
  <sheetFormatPr defaultRowHeight="18"/>
  <cols>
    <col min="1" max="1" width="15.1640625" customWidth="1"/>
    <col min="2" max="2" width="41.33203125" customWidth="1"/>
    <col min="3" max="24" width="15.1640625" customWidth="1"/>
  </cols>
  <sheetData>
    <row r="1" spans="1:41" ht="36">
      <c r="B1" s="69" t="s">
        <v>204</v>
      </c>
      <c r="C1" s="69" t="s">
        <v>201</v>
      </c>
      <c r="D1" s="69" t="s">
        <v>202</v>
      </c>
      <c r="E1" s="81" t="s">
        <v>120</v>
      </c>
      <c r="F1" s="81" t="s">
        <v>119</v>
      </c>
    </row>
    <row r="2" spans="1:41">
      <c r="B2" s="2">
        <v>1</v>
      </c>
      <c r="C2" s="34">
        <v>0</v>
      </c>
      <c r="D2" s="2"/>
      <c r="E2" s="139" t="e">
        <f ca="1">$AN$5</f>
        <v>#N/A</v>
      </c>
      <c r="F2" s="140" t="e">
        <f ca="1">$AO$5</f>
        <v>#N/A</v>
      </c>
    </row>
    <row r="4" spans="1:41" ht="36">
      <c r="A4" s="101" t="s">
        <v>121</v>
      </c>
      <c r="B4" s="102" t="s">
        <v>200</v>
      </c>
      <c r="C4" s="46" t="s">
        <v>126</v>
      </c>
      <c r="D4" s="46" t="s">
        <v>127</v>
      </c>
      <c r="E4" s="83" t="s">
        <v>9</v>
      </c>
      <c r="F4" s="69" t="s">
        <v>10</v>
      </c>
      <c r="G4" s="82" t="s">
        <v>47</v>
      </c>
      <c r="H4" s="82" t="s">
        <v>5</v>
      </c>
      <c r="I4" s="94" t="s">
        <v>117</v>
      </c>
      <c r="J4" s="136" t="s">
        <v>46</v>
      </c>
      <c r="K4" s="137" t="s">
        <v>69</v>
      </c>
      <c r="L4" s="82" t="s">
        <v>123</v>
      </c>
      <c r="M4" s="82" t="s">
        <v>128</v>
      </c>
      <c r="N4" s="86" t="s">
        <v>137</v>
      </c>
      <c r="O4" s="86" t="s">
        <v>138</v>
      </c>
      <c r="P4" s="113" t="s">
        <v>116</v>
      </c>
      <c r="Q4" s="86" t="s">
        <v>115</v>
      </c>
      <c r="R4" s="70" t="s">
        <v>11</v>
      </c>
      <c r="S4" s="71" t="s">
        <v>12</v>
      </c>
      <c r="T4" s="129"/>
      <c r="U4" s="77" t="s">
        <v>114</v>
      </c>
      <c r="V4" s="78" t="s">
        <v>117</v>
      </c>
      <c r="W4" s="78" t="s">
        <v>118</v>
      </c>
      <c r="X4" s="78" t="s">
        <v>113</v>
      </c>
      <c r="Y4" s="73" t="s">
        <v>13</v>
      </c>
      <c r="Z4" s="73" t="s">
        <v>14</v>
      </c>
      <c r="AA4" s="74" t="s">
        <v>6</v>
      </c>
      <c r="AB4" s="79" t="s">
        <v>120</v>
      </c>
      <c r="AC4" s="79" t="s">
        <v>119</v>
      </c>
      <c r="AD4" s="84" t="s">
        <v>122</v>
      </c>
      <c r="AE4" s="80" t="s">
        <v>120</v>
      </c>
      <c r="AF4" s="80" t="s">
        <v>119</v>
      </c>
      <c r="AG4" s="82" t="s">
        <v>129</v>
      </c>
      <c r="AH4" s="82" t="s">
        <v>124</v>
      </c>
      <c r="AI4" s="46" t="s">
        <v>120</v>
      </c>
      <c r="AJ4" s="46" t="s">
        <v>119</v>
      </c>
      <c r="AK4" s="85" t="s">
        <v>15</v>
      </c>
      <c r="AL4" s="119" t="s">
        <v>177</v>
      </c>
      <c r="AM4" s="92" t="s">
        <v>125</v>
      </c>
      <c r="AN4" s="81" t="s">
        <v>120</v>
      </c>
      <c r="AO4" s="81" t="s">
        <v>119</v>
      </c>
    </row>
    <row r="5" spans="1:41">
      <c r="A5" s="138"/>
      <c r="B5" s="143" t="e">
        <f>VLOOKUP($A5,試算表!$A:$AQ,2,FALSE)</f>
        <v>#N/A</v>
      </c>
      <c r="C5" s="130" t="e">
        <f>VLOOKUP($A5,試算表!$A:$AQ,3,FALSE)*$B2</f>
        <v>#N/A</v>
      </c>
      <c r="D5" s="130" t="e">
        <f>VLOOKUP($A5,試算表!$A:$AQ,4,FALSE)*$B2</f>
        <v>#N/A</v>
      </c>
      <c r="E5" s="130" t="e">
        <f>VLOOKUP($A5,試算表!$A:$AQ,5,FALSE)</f>
        <v>#N/A</v>
      </c>
      <c r="F5" s="130" t="e">
        <f>VLOOKUP($A5,試算表!$A:$AQ,6,FALSE)</f>
        <v>#N/A</v>
      </c>
      <c r="G5" s="130" t="e">
        <f>VLOOKUP($A5,試算表!$A:$AQ,7,FALSE)</f>
        <v>#N/A</v>
      </c>
      <c r="H5" s="133">
        <f>$C2</f>
        <v>0</v>
      </c>
      <c r="I5" s="134">
        <f>$D2</f>
        <v>0</v>
      </c>
      <c r="J5" s="98" t="s">
        <v>203</v>
      </c>
      <c r="K5" s="45">
        <v>60</v>
      </c>
      <c r="L5" s="130" t="e">
        <f>VLOOKUP($A5,試算表!$A:$AQ,12,FALSE)</f>
        <v>#N/A</v>
      </c>
      <c r="M5" s="130" t="e">
        <f>VLOOKUP($A5,試算表!$A:$AQ,13,FALSE)</f>
        <v>#N/A</v>
      </c>
      <c r="N5" s="130" t="e">
        <f>VLOOKUP($A5,試算表!$A:$AQ,14,FALSE)</f>
        <v>#N/A</v>
      </c>
      <c r="O5" s="130" t="e">
        <f>VLOOKUP($A5,試算表!$A:$AQ,15,FALSE)</f>
        <v>#N/A</v>
      </c>
      <c r="P5" s="130" t="e">
        <f>VLOOKUP($A5,試算表!$A:$AQ,16,FALSE)*$B2</f>
        <v>#N/A</v>
      </c>
      <c r="Q5" s="130" t="e">
        <f>VLOOKUP($A5,試算表!$A:$AQ,17,FALSE)*$B2</f>
        <v>#N/A</v>
      </c>
      <c r="R5" s="131" t="e">
        <f>VLOOKUP($A5,試算表!$A:$AQ,18,FALSE)</f>
        <v>#N/A</v>
      </c>
      <c r="S5" s="131" t="e">
        <f>VLOOKUP($A5,試算表!$A:$AQ,19,FALSE)</f>
        <v>#N/A</v>
      </c>
      <c r="T5" s="130"/>
      <c r="U5" s="130" t="e">
        <f>VLOOKUP($A5,試算表!$A:$AQ,21,FALSE)*$B2</f>
        <v>#N/A</v>
      </c>
      <c r="V5" s="130" t="e">
        <f>ROUNDUP(U5*H5+I5,0)</f>
        <v>#N/A</v>
      </c>
      <c r="W5" s="130" t="e">
        <f>U5-V5</f>
        <v>#N/A</v>
      </c>
      <c r="X5" s="132" t="e">
        <f>W5/(1+0.1)</f>
        <v>#N/A</v>
      </c>
      <c r="Y5" s="132" t="e">
        <f>W5-Q5-((W5-X5)-(Q5-P5))</f>
        <v>#N/A</v>
      </c>
      <c r="Z5" s="131" t="e">
        <f>Y5/$C5</f>
        <v>#N/A</v>
      </c>
      <c r="AA5" s="130" t="e">
        <f>IF(J5="送料負担なし",0,IF(F5=1,(VLOOKUP(J5&amp;K5,②送料!$A:$E,3,FALSE)),0))</f>
        <v>#N/A</v>
      </c>
      <c r="AB5" s="132" t="e">
        <f>Y5-AA5</f>
        <v>#N/A</v>
      </c>
      <c r="AC5" s="131" t="e">
        <f>AB5/$X5</f>
        <v>#N/A</v>
      </c>
      <c r="AD5" s="130" t="e">
        <f>IF(AND(G5&lt;&gt;"",G5&gt;0),ROUNDUP((G5-1)*0.01*X5,0),0)</f>
        <v>#N/A</v>
      </c>
      <c r="AE5" s="132" t="e">
        <f>AB5-AD5</f>
        <v>#N/A</v>
      </c>
      <c r="AF5" s="131" t="e">
        <f>AE5/$X5</f>
        <v>#N/A</v>
      </c>
      <c r="AG5" s="130" t="e">
        <f>VLOOKUP($A5,試算表!$A:$AQ,33,FALSE)</f>
        <v>#N/A</v>
      </c>
      <c r="AH5" s="130" t="e">
        <f>VLOOKUP($A5,試算表!$A:$AQ,34,FALSE)</f>
        <v>#N/A</v>
      </c>
      <c r="AI5" s="132" t="e">
        <f>AE5-AG5-AH5</f>
        <v>#N/A</v>
      </c>
      <c r="AJ5" s="131" t="e">
        <f>AI5/$X5</f>
        <v>#N/A</v>
      </c>
      <c r="AK5" s="130" t="e">
        <f ca="1">ROUNDUP(W5*①店舗情報!$B$23,0)</f>
        <v>#N/A</v>
      </c>
      <c r="AL5" s="130" t="e">
        <f>VLOOKUP($A5,試算表!$A:$AQ,38,FALSE)</f>
        <v>#N/A</v>
      </c>
      <c r="AM5" s="130">
        <f>IF(OR(H5&gt;0,I5&gt;0),50,0)</f>
        <v>0</v>
      </c>
      <c r="AN5" s="135" t="e">
        <f ca="1">AI5-AK5-AL5-AM5</f>
        <v>#N/A</v>
      </c>
      <c r="AO5" s="131" t="e">
        <f ca="1">AN5/$X5</f>
        <v>#N/A</v>
      </c>
    </row>
  </sheetData>
  <phoneticPr fontId="1"/>
  <conditionalFormatting sqref="E1:F1">
    <cfRule type="cellIs" dxfId="1" priority="1" operator="lessThan">
      <formula>0</formula>
    </cfRule>
  </conditionalFormatting>
  <conditionalFormatting sqref="AN4:AO4">
    <cfRule type="cellIs" dxfId="0" priority="3" operator="lessThan">
      <formula>0</formula>
    </cfRule>
  </conditionalFormatting>
  <dataValidations count="2">
    <dataValidation type="list" allowBlank="1" showInputMessage="1" showErrorMessage="1" sqref="J5" xr:uid="{8D63C724-81DE-43F7-A269-1305D01BD843}">
      <formula1>"宅配便,RSL,メール便,定形外郵便規格内,定形外郵便規格外,宅急便コンパクト,送料負担なし"</formula1>
    </dataValidation>
    <dataValidation type="list" allowBlank="1" showInputMessage="1" showErrorMessage="1" sqref="K5" xr:uid="{1AE241FE-A720-4024-8754-DADAD7F4FC1F}">
      <formula1>INDIRECT(J5)</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80A2A-35B7-4938-9F45-904FE7BDBFEE}">
  <sheetPr>
    <tabColor theme="8" tint="0.79998168889431442"/>
  </sheetPr>
  <dimension ref="A1:G64"/>
  <sheetViews>
    <sheetView showGridLines="0" zoomScale="85" zoomScaleNormal="85" workbookViewId="0">
      <selection activeCell="C49" sqref="C49"/>
    </sheetView>
  </sheetViews>
  <sheetFormatPr defaultRowHeight="18"/>
  <sheetData>
    <row r="1" spans="1:7" ht="26.5">
      <c r="A1" s="108" t="s">
        <v>191</v>
      </c>
      <c r="B1" s="108"/>
    </row>
    <row r="2" spans="1:7">
      <c r="A2" s="106"/>
    </row>
    <row r="3" spans="1:7" ht="22.5">
      <c r="A3" s="110" t="s">
        <v>144</v>
      </c>
    </row>
    <row r="5" spans="1:7">
      <c r="A5" t="s">
        <v>181</v>
      </c>
    </row>
    <row r="6" spans="1:7">
      <c r="A6" t="s">
        <v>145</v>
      </c>
    </row>
    <row r="7" spans="1:7">
      <c r="A7" s="109" t="s">
        <v>146</v>
      </c>
      <c r="B7" s="109"/>
      <c r="C7" s="109"/>
      <c r="D7" s="109"/>
      <c r="E7" s="109"/>
      <c r="F7" s="109"/>
      <c r="G7" s="109"/>
    </row>
    <row r="8" spans="1:7">
      <c r="A8" t="s">
        <v>147</v>
      </c>
    </row>
    <row r="9" spans="1:7">
      <c r="A9" t="s">
        <v>148</v>
      </c>
    </row>
    <row r="10" spans="1:7">
      <c r="A10" s="109" t="s">
        <v>167</v>
      </c>
      <c r="B10" s="109"/>
      <c r="C10" s="109"/>
      <c r="D10" s="109"/>
      <c r="E10" s="109"/>
      <c r="F10" s="109"/>
      <c r="G10" s="109"/>
    </row>
    <row r="12" spans="1:7">
      <c r="A12" t="s">
        <v>149</v>
      </c>
    </row>
    <row r="13" spans="1:7">
      <c r="A13" t="s">
        <v>150</v>
      </c>
    </row>
    <row r="14" spans="1:7">
      <c r="A14" s="109" t="s">
        <v>168</v>
      </c>
      <c r="B14" s="109"/>
      <c r="C14" s="109"/>
      <c r="D14" s="109"/>
      <c r="E14" s="109"/>
      <c r="F14" s="109"/>
      <c r="G14" s="109"/>
    </row>
    <row r="15" spans="1:7">
      <c r="A15" t="s">
        <v>151</v>
      </c>
    </row>
    <row r="16" spans="1:7">
      <c r="A16" t="s">
        <v>169</v>
      </c>
    </row>
    <row r="18" spans="1:7">
      <c r="A18" t="s">
        <v>152</v>
      </c>
    </row>
    <row r="19" spans="1:7">
      <c r="A19" s="109" t="s">
        <v>153</v>
      </c>
      <c r="B19" s="109"/>
      <c r="C19" s="109"/>
      <c r="D19" s="109"/>
      <c r="E19" s="109"/>
      <c r="F19" s="109"/>
      <c r="G19" s="109"/>
    </row>
    <row r="20" spans="1:7">
      <c r="A20" t="s">
        <v>199</v>
      </c>
    </row>
    <row r="22" spans="1:7">
      <c r="A22" t="s">
        <v>154</v>
      </c>
    </row>
    <row r="23" spans="1:7">
      <c r="A23" t="s">
        <v>155</v>
      </c>
    </row>
    <row r="25" spans="1:7">
      <c r="A25" t="s">
        <v>156</v>
      </c>
    </row>
    <row r="27" spans="1:7">
      <c r="A27" s="118" t="s">
        <v>178</v>
      </c>
    </row>
    <row r="28" spans="1:7">
      <c r="A28" s="109" t="s">
        <v>179</v>
      </c>
      <c r="B28" s="109"/>
      <c r="C28" s="109"/>
      <c r="D28" s="109"/>
      <c r="E28" s="109"/>
      <c r="F28" s="109"/>
      <c r="G28" s="109"/>
    </row>
    <row r="29" spans="1:7">
      <c r="A29" t="s">
        <v>180</v>
      </c>
    </row>
    <row r="30" spans="1:7">
      <c r="A30" s="109" t="s">
        <v>196</v>
      </c>
    </row>
    <row r="32" spans="1:7">
      <c r="A32" s="118" t="s">
        <v>194</v>
      </c>
    </row>
    <row r="33" spans="1:7">
      <c r="A33" s="109" t="s">
        <v>195</v>
      </c>
      <c r="B33" s="109"/>
      <c r="C33" s="109"/>
      <c r="D33" s="109"/>
      <c r="E33" s="109"/>
      <c r="F33" s="109"/>
      <c r="G33" s="109"/>
    </row>
    <row r="34" spans="1:7">
      <c r="A34" t="s">
        <v>197</v>
      </c>
    </row>
    <row r="35" spans="1:7">
      <c r="A35" s="109"/>
    </row>
    <row r="37" spans="1:7" ht="22.5">
      <c r="A37" s="110" t="s">
        <v>157</v>
      </c>
    </row>
    <row r="39" spans="1:7">
      <c r="A39" s="141" t="s">
        <v>205</v>
      </c>
    </row>
    <row r="40" spans="1:7">
      <c r="A40" t="s">
        <v>190</v>
      </c>
    </row>
    <row r="42" spans="1:7">
      <c r="A42" t="s">
        <v>158</v>
      </c>
    </row>
    <row r="43" spans="1:7">
      <c r="A43" t="s">
        <v>170</v>
      </c>
    </row>
    <row r="44" spans="1:7">
      <c r="A44" t="s">
        <v>171</v>
      </c>
    </row>
    <row r="45" spans="1:7">
      <c r="A45" t="s">
        <v>159</v>
      </c>
    </row>
    <row r="46" spans="1:7">
      <c r="A46" t="s">
        <v>160</v>
      </c>
    </row>
    <row r="47" spans="1:7">
      <c r="A47" t="s">
        <v>161</v>
      </c>
    </row>
    <row r="48" spans="1:7">
      <c r="A48" t="s">
        <v>162</v>
      </c>
    </row>
    <row r="49" spans="1:1">
      <c r="A49" t="s">
        <v>172</v>
      </c>
    </row>
    <row r="50" spans="1:1">
      <c r="A50" t="s">
        <v>173</v>
      </c>
    </row>
    <row r="52" spans="1:1">
      <c r="A52" t="s">
        <v>163</v>
      </c>
    </row>
    <row r="53" spans="1:1">
      <c r="A53" t="s">
        <v>164</v>
      </c>
    </row>
    <row r="55" spans="1:1">
      <c r="A55" t="s">
        <v>174</v>
      </c>
    </row>
    <row r="57" spans="1:1">
      <c r="A57" t="s">
        <v>175</v>
      </c>
    </row>
    <row r="59" spans="1:1">
      <c r="A59" s="141" t="s">
        <v>206</v>
      </c>
    </row>
    <row r="60" spans="1:1">
      <c r="A60" s="142" t="s">
        <v>207</v>
      </c>
    </row>
    <row r="62" spans="1:1">
      <c r="A62" t="s">
        <v>208</v>
      </c>
    </row>
    <row r="64" spans="1:1">
      <c r="A64" t="s">
        <v>209</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35AC-730F-4E21-B78C-BFDC683C8475}">
  <sheetPr codeName="Sheet1">
    <tabColor theme="7" tint="0.79998168889431442"/>
  </sheetPr>
  <dimension ref="A1:M23"/>
  <sheetViews>
    <sheetView zoomScale="85" zoomScaleNormal="85" workbookViewId="0">
      <selection activeCell="C23" sqref="C23"/>
    </sheetView>
  </sheetViews>
  <sheetFormatPr defaultRowHeight="18"/>
  <cols>
    <col min="1" max="1" width="28.25" customWidth="1"/>
    <col min="2" max="2" width="23.5" bestFit="1" customWidth="1"/>
    <col min="4" max="4" width="17.58203125" bestFit="1" customWidth="1"/>
    <col min="5" max="8" width="9.5" bestFit="1" customWidth="1"/>
    <col min="9" max="10" width="10.5" bestFit="1" customWidth="1"/>
    <col min="11" max="11" width="11.58203125" bestFit="1" customWidth="1"/>
    <col min="12" max="12" width="13.5" bestFit="1" customWidth="1"/>
    <col min="13" max="13" width="14.75" customWidth="1"/>
  </cols>
  <sheetData>
    <row r="1" spans="1:13">
      <c r="A1" t="s">
        <v>4</v>
      </c>
      <c r="D1" t="s">
        <v>130</v>
      </c>
      <c r="E1" s="124" t="s">
        <v>198</v>
      </c>
    </row>
    <row r="2" spans="1:13" ht="18.5" thickBot="1">
      <c r="A2" s="1" t="s">
        <v>0</v>
      </c>
      <c r="B2" s="45" t="s">
        <v>176</v>
      </c>
      <c r="D2" s="59" t="s">
        <v>100</v>
      </c>
      <c r="E2" s="60">
        <v>500000</v>
      </c>
      <c r="F2" s="60">
        <v>1000000</v>
      </c>
      <c r="G2" s="60">
        <v>2000000</v>
      </c>
      <c r="H2" s="60">
        <v>3000000</v>
      </c>
      <c r="I2" s="60">
        <v>5000000</v>
      </c>
      <c r="J2" s="60">
        <v>10000000</v>
      </c>
      <c r="K2" s="60">
        <v>30000000</v>
      </c>
      <c r="L2" s="59">
        <v>999999999</v>
      </c>
    </row>
    <row r="3" spans="1:13" ht="18.5" thickTop="1">
      <c r="A3" s="31" t="s">
        <v>1</v>
      </c>
      <c r="B3" s="32">
        <v>3000000</v>
      </c>
      <c r="D3" s="57" t="s">
        <v>101</v>
      </c>
      <c r="E3" s="58">
        <f>IF($B$3&lt;=E2,$B$3,E2)</f>
        <v>500000</v>
      </c>
      <c r="F3" s="58">
        <f>IF($B$3&lt;=E2,0,IF($B$3&lt;=F2,$B$3-E2,F2-E2))</f>
        <v>500000</v>
      </c>
      <c r="G3" s="58">
        <f>IF($B$3&lt;=F2,0,IF($B$3&lt;=G2,$B$3-F2,G2-F2))</f>
        <v>1000000</v>
      </c>
      <c r="H3" s="58">
        <f t="shared" ref="H3:L3" si="0">IF($B$3&lt;=G2,0,IF($B$3&lt;=H2,$B$3-G2,H2-G2))</f>
        <v>1000000</v>
      </c>
      <c r="I3" s="58">
        <f t="shared" si="0"/>
        <v>0</v>
      </c>
      <c r="J3" s="58">
        <f t="shared" si="0"/>
        <v>0</v>
      </c>
      <c r="K3" s="58">
        <f t="shared" si="0"/>
        <v>0</v>
      </c>
      <c r="L3" s="58">
        <f t="shared" si="0"/>
        <v>0</v>
      </c>
    </row>
    <row r="4" spans="1:13">
      <c r="A4" s="28" t="s">
        <v>3</v>
      </c>
      <c r="B4" s="33">
        <v>3000</v>
      </c>
      <c r="D4" s="55" t="s">
        <v>102</v>
      </c>
      <c r="E4" s="37">
        <f ca="1">INDEX(OFFSET(手数料!$I$1,MATCH(①店舗情報!$B$2,手数料!$E:$E,0)-1,0,COUNTIF(手数料!$E:$E,$B$2),7),MATCH(①店舗情報!$B$4,OFFSET(手数料!$F$1,MATCH(①店舗情報!$B$2,手数料!$E:$E,0)-1,0,COUNTIF(手数料!$E:$E,$B$2),1),1),MATCH(①店舗情報!E$2,OFFSET(手数料!$I$1,MATCH(①店舗情報!$B$2,手数料!$E:$E,0)-2,0,1,7),-1))</f>
        <v>0.04</v>
      </c>
      <c r="F4" s="37">
        <f ca="1">INDEX(OFFSET(手数料!$I$1,MATCH(①店舗情報!$B$2,手数料!$E:$E,0)-1,0,COUNTIF(手数料!$E:$E,$B$2),7),MATCH(①店舗情報!$B$4,OFFSET(手数料!$F$1,MATCH(①店舗情報!$B$2,手数料!$E:$E,0)-1,0,COUNTIF(手数料!$E:$E,$B$2),1),1),MATCH(①店舗情報!F$2,OFFSET(手数料!$I$1,MATCH(①店舗情報!$B$2,手数料!$E:$E,0)-2,0,1,7),-1))</f>
        <v>0.04</v>
      </c>
      <c r="G4" s="37">
        <f ca="1">INDEX(OFFSET(手数料!$I$1,MATCH(①店舗情報!$B$2,手数料!$E:$E,0)-1,0,COUNTIF(手数料!$E:$E,$B$2),7),MATCH(①店舗情報!$B$4,OFFSET(手数料!$F$1,MATCH(①店舗情報!$B$2,手数料!$E:$E,0)-1,0,COUNTIF(手数料!$E:$E,$B$2),1),1),MATCH(①店舗情報!G$2,OFFSET(手数料!$I$1,MATCH(①店舗情報!$B$2,手数料!$E:$E,0)-2,0,1,7),-1))</f>
        <v>0.03</v>
      </c>
      <c r="H4" s="37">
        <f ca="1">INDEX(OFFSET(手数料!$I$1,MATCH(①店舗情報!$B$2,手数料!$E:$E,0)-1,0,COUNTIF(手数料!$E:$E,$B$2),7),MATCH(①店舗情報!$B$4,OFFSET(手数料!$F$1,MATCH(①店舗情報!$B$2,手数料!$E:$E,0)-1,0,COUNTIF(手数料!$E:$E,$B$2),1),1),MATCH(①店舗情報!H$2,OFFSET(手数料!$I$1,MATCH(①店舗情報!$B$2,手数料!$E:$E,0)-2,0,1,7),-1))</f>
        <v>0.03</v>
      </c>
      <c r="I4" s="37">
        <f ca="1">INDEX(OFFSET(手数料!$I$1,MATCH(①店舗情報!$B$2,手数料!$E:$E,0)-1,0,COUNTIF(手数料!$E:$E,$B$2),7),MATCH(①店舗情報!$B$4,OFFSET(手数料!$F$1,MATCH(①店舗情報!$B$2,手数料!$E:$E,0)-1,0,COUNTIF(手数料!$E:$E,$B$2),1),1),MATCH(①店舗情報!I$2,OFFSET(手数料!$I$1,MATCH(①店舗情報!$B$2,手数料!$E:$E,0)-2,0,1,7),-1))</f>
        <v>2.8000000000000001E-2</v>
      </c>
      <c r="J4" s="37">
        <f ca="1">INDEX(OFFSET(手数料!$I$1,MATCH(①店舗情報!$B$2,手数料!$E:$E,0)-1,0,COUNTIF(手数料!$E:$E,$B$2),7),MATCH(①店舗情報!$B$4,OFFSET(手数料!$F$1,MATCH(①店舗情報!$B$2,手数料!$E:$E,0)-1,0,COUNTIF(手数料!$E:$E,$B$2),1),1),MATCH(①店舗情報!J$2,OFFSET(手数料!$I$1,MATCH(①店舗情報!$B$2,手数料!$E:$E,0)-2,0,1,7),-1))</f>
        <v>2.8000000000000001E-2</v>
      </c>
      <c r="K4" s="37">
        <f ca="1">INDEX(OFFSET(手数料!$I$1,MATCH(①店舗情報!$B$2,手数料!$E:$E,0)-1,0,COUNTIF(手数料!$E:$E,$B$2),7),MATCH(①店舗情報!$B$4,OFFSET(手数料!$F$1,MATCH(①店舗情報!$B$2,手数料!$E:$E,0)-1,0,COUNTIF(手数料!$E:$E,$B$2),1),1),MATCH(①店舗情報!K$2,OFFSET(手数料!$I$1,MATCH(①店舗情報!$B$2,手数料!$E:$E,0)-2,0,1,7),-1))</f>
        <v>2.5999999999999999E-2</v>
      </c>
      <c r="L4" s="37">
        <f ca="1">INDEX(OFFSET(手数料!$I$1,MATCH(①店舗情報!$B$2,手数料!$E:$E,0)-1,0,COUNTIF(手数料!$E:$E,$B$2),7),MATCH(①店舗情報!$B$4,OFFSET(手数料!$F$1,MATCH(①店舗情報!$B$2,手数料!$E:$E,0)-1,0,COUNTIF(手数料!$E:$E,$B$2),1),1),MATCH(①店舗情報!L$2,OFFSET(手数料!$I$1,MATCH(①店舗情報!$B$2,手数料!$E:$E,0)-2,0,1,7),-1))</f>
        <v>2.4E-2</v>
      </c>
    </row>
    <row r="5" spans="1:13">
      <c r="A5" s="28" t="s">
        <v>2</v>
      </c>
      <c r="B5" s="33">
        <f>B3*12</f>
        <v>36000000</v>
      </c>
      <c r="D5" s="55" t="s">
        <v>103</v>
      </c>
      <c r="E5" s="54">
        <f ca="1">E4*E3*$B7</f>
        <v>2000</v>
      </c>
      <c r="F5" s="54">
        <f t="shared" ref="F5:L5" ca="1" si="1">F4*F3*$B7</f>
        <v>2000</v>
      </c>
      <c r="G5" s="54">
        <f t="shared" ca="1" si="1"/>
        <v>3000</v>
      </c>
      <c r="H5" s="54">
        <f t="shared" ca="1" si="1"/>
        <v>3000</v>
      </c>
      <c r="I5" s="54">
        <f t="shared" ca="1" si="1"/>
        <v>0</v>
      </c>
      <c r="J5" s="54">
        <f t="shared" ca="1" si="1"/>
        <v>0</v>
      </c>
      <c r="K5" s="54">
        <f t="shared" ca="1" si="1"/>
        <v>0</v>
      </c>
      <c r="L5" s="54">
        <f t="shared" ca="1" si="1"/>
        <v>0</v>
      </c>
      <c r="M5" s="62">
        <f ca="1">SUM(E5:L5)</f>
        <v>10000</v>
      </c>
    </row>
    <row r="6" spans="1:13">
      <c r="A6" s="28" t="s">
        <v>36</v>
      </c>
      <c r="B6" s="33">
        <v>30000</v>
      </c>
      <c r="D6" s="55" t="s">
        <v>104</v>
      </c>
      <c r="E6" s="61">
        <f ca="1">INDEX(OFFSET(手数料!$U$1,MATCH(①店舗情報!$B$2,手数料!$Q:$Q,0)-1,0,COUNTIF(手数料!$Q:$Q,$B$2),7),MATCH(①店舗情報!$B$4,OFFSET(手数料!$R$1,MATCH(①店舗情報!$B$2,手数料!$Q:$Q,0)-1,0,COUNTIF(手数料!$Q:$Q,$B$2),1),1),MATCH(①店舗情報!E$2,OFFSET(手数料!$U$1,MATCH(①店舗情報!$B$2,手数料!$Q:$Q,0)-2,0,1,7),-1))</f>
        <v>4.4999999999999998E-2</v>
      </c>
      <c r="F6" s="61">
        <f ca="1">INDEX(OFFSET(手数料!$U$1,MATCH(①店舗情報!$B$2,手数料!$Q:$Q,0)-1,0,COUNTIF(手数料!$Q:$Q,$B$2),7),MATCH(①店舗情報!$B$4,OFFSET(手数料!$R$1,MATCH(①店舗情報!$B$2,手数料!$Q:$Q,0)-1,0,COUNTIF(手数料!$Q:$Q,$B$2),1),1),MATCH(①店舗情報!F$2,OFFSET(手数料!$U$1,MATCH(①店舗情報!$B$2,手数料!$Q:$Q,0)-2,0,1,7),-1))</f>
        <v>4.4999999999999998E-2</v>
      </c>
      <c r="G6" s="61">
        <f ca="1">INDEX(OFFSET(手数料!$U$1,MATCH(①店舗情報!$B$2,手数料!$Q:$Q,0)-1,0,COUNTIF(手数料!$Q:$Q,$B$2),7),MATCH(①店舗情報!$B$4,OFFSET(手数料!$R$1,MATCH(①店舗情報!$B$2,手数料!$Q:$Q,0)-1,0,COUNTIF(手数料!$Q:$Q,$B$2),1),1),MATCH(①店舗情報!G$2,OFFSET(手数料!$U$1,MATCH(①店舗情報!$B$2,手数料!$Q:$Q,0)-2,0,1,7),-1))</f>
        <v>3.5000000000000003E-2</v>
      </c>
      <c r="H6" s="61">
        <f ca="1">INDEX(OFFSET(手数料!$U$1,MATCH(①店舗情報!$B$2,手数料!$Q:$Q,0)-1,0,COUNTIF(手数料!$Q:$Q,$B$2),7),MATCH(①店舗情報!$B$4,OFFSET(手数料!$R$1,MATCH(①店舗情報!$B$2,手数料!$Q:$Q,0)-1,0,COUNTIF(手数料!$Q:$Q,$B$2),1),1),MATCH(①店舗情報!H$2,OFFSET(手数料!$U$1,MATCH(①店舗情報!$B$2,手数料!$Q:$Q,0)-2,0,1,7),-1))</f>
        <v>3.5000000000000003E-2</v>
      </c>
      <c r="I6" s="61">
        <f ca="1">INDEX(OFFSET(手数料!$U$1,MATCH(①店舗情報!$B$2,手数料!$Q:$Q,0)-1,0,COUNTIF(手数料!$Q:$Q,$B$2),7),MATCH(①店舗情報!$B$4,OFFSET(手数料!$R$1,MATCH(①店舗情報!$B$2,手数料!$Q:$Q,0)-1,0,COUNTIF(手数料!$Q:$Q,$B$2),1),1),MATCH(①店舗情報!I$2,OFFSET(手数料!$U$1,MATCH(①店舗情報!$B$2,手数料!$Q:$Q,0)-2,0,1,7),-1))</f>
        <v>3.3000000000000002E-2</v>
      </c>
      <c r="J6" s="61">
        <f ca="1">INDEX(OFFSET(手数料!$U$1,MATCH(①店舗情報!$B$2,手数料!$Q:$Q,0)-1,0,COUNTIF(手数料!$Q:$Q,$B$2),7),MATCH(①店舗情報!$B$4,OFFSET(手数料!$R$1,MATCH(①店舗情報!$B$2,手数料!$Q:$Q,0)-1,0,COUNTIF(手数料!$Q:$Q,$B$2),1),1),MATCH(①店舗情報!J$2,OFFSET(手数料!$U$1,MATCH(①店舗情報!$B$2,手数料!$Q:$Q,0)-2,0,1,7),-1))</f>
        <v>3.3000000000000002E-2</v>
      </c>
      <c r="K6" s="61">
        <f ca="1">INDEX(OFFSET(手数料!$U$1,MATCH(①店舗情報!$B$2,手数料!$Q:$Q,0)-1,0,COUNTIF(手数料!$Q:$Q,$B$2),7),MATCH(①店舗情報!$B$4,OFFSET(手数料!$R$1,MATCH(①店舗情報!$B$2,手数料!$Q:$Q,0)-1,0,COUNTIF(手数料!$Q:$Q,$B$2),1),1),MATCH(①店舗情報!K$2,OFFSET(手数料!$U$1,MATCH(①店舗情報!$B$2,手数料!$Q:$Q,0)-2,0,1,7),-1))</f>
        <v>3.1E-2</v>
      </c>
      <c r="L6" s="61">
        <f ca="1">INDEX(OFFSET(手数料!$U$1,MATCH(①店舗情報!$B$2,手数料!$Q:$Q,0)-1,0,COUNTIF(手数料!$Q:$Q,$B$2),7),MATCH(①店舗情報!$B$4,OFFSET(手数料!$R$1,MATCH(①店舗情報!$B$2,手数料!$Q:$Q,0)-1,0,COUNTIF(手数料!$Q:$Q,$B$2),1),1),MATCH(①店舗情報!L$2,OFFSET(手数料!$U$1,MATCH(①店舗情報!$B$2,手数料!$Q:$Q,0)-2,0,1,7),-1))</f>
        <v>2.9000000000000001E-2</v>
      </c>
    </row>
    <row r="7" spans="1:13">
      <c r="A7" s="28" t="s">
        <v>24</v>
      </c>
      <c r="B7" s="34">
        <v>0.1</v>
      </c>
      <c r="D7" s="55" t="s">
        <v>105</v>
      </c>
      <c r="E7" s="54">
        <f ca="1">E6*E3*$B8</f>
        <v>20250</v>
      </c>
      <c r="F7" s="54">
        <f t="shared" ref="F7:L7" ca="1" si="2">F6*F3*$B8</f>
        <v>20250</v>
      </c>
      <c r="G7" s="54">
        <f t="shared" ca="1" si="2"/>
        <v>31500</v>
      </c>
      <c r="H7" s="54">
        <f t="shared" ca="1" si="2"/>
        <v>31500</v>
      </c>
      <c r="I7" s="54">
        <f t="shared" ca="1" si="2"/>
        <v>0</v>
      </c>
      <c r="J7" s="54">
        <f t="shared" ca="1" si="2"/>
        <v>0</v>
      </c>
      <c r="K7" s="54">
        <f t="shared" ca="1" si="2"/>
        <v>0</v>
      </c>
      <c r="L7" s="54">
        <f t="shared" ca="1" si="2"/>
        <v>0</v>
      </c>
      <c r="M7" s="62">
        <f ca="1">SUM(E7:L7)</f>
        <v>103500</v>
      </c>
    </row>
    <row r="8" spans="1:13">
      <c r="A8" s="28" t="s">
        <v>23</v>
      </c>
      <c r="B8" s="34">
        <v>0.9</v>
      </c>
      <c r="L8" s="64" t="s">
        <v>131</v>
      </c>
      <c r="M8" s="62">
        <f ca="1">M7+M5</f>
        <v>113500</v>
      </c>
    </row>
    <row r="9" spans="1:13">
      <c r="A9" s="28" t="s">
        <v>140</v>
      </c>
      <c r="B9" s="33">
        <v>0</v>
      </c>
      <c r="D9" s="93" t="s">
        <v>132</v>
      </c>
      <c r="E9" s="124" t="s">
        <v>198</v>
      </c>
    </row>
    <row r="10" spans="1:13" ht="18.5" thickBot="1">
      <c r="A10" s="28" t="s">
        <v>107</v>
      </c>
      <c r="B10" s="33">
        <v>0</v>
      </c>
      <c r="D10" s="59" t="s">
        <v>100</v>
      </c>
      <c r="E10" s="60">
        <v>1000000</v>
      </c>
      <c r="F10" s="60">
        <v>2000000</v>
      </c>
      <c r="G10" s="60">
        <v>3000000</v>
      </c>
      <c r="H10" s="60">
        <v>5000000</v>
      </c>
      <c r="I10" s="60">
        <v>10000000</v>
      </c>
      <c r="J10" s="60">
        <v>30000000</v>
      </c>
      <c r="K10" s="60">
        <v>100000000</v>
      </c>
      <c r="L10" s="60">
        <v>500000000</v>
      </c>
      <c r="M10" s="59">
        <v>999999999</v>
      </c>
    </row>
    <row r="11" spans="1:13" ht="18.5" thickTop="1">
      <c r="A11" s="28" t="s">
        <v>108</v>
      </c>
      <c r="B11" s="65">
        <f>B10/B3</f>
        <v>0</v>
      </c>
      <c r="D11" s="57" t="s">
        <v>101</v>
      </c>
      <c r="E11" s="58">
        <f>IF($B$3&lt;=E10,$B$3,E10)</f>
        <v>1000000</v>
      </c>
      <c r="F11" s="58">
        <f>IF($B$3&lt;=E10,0,IF($B$3&lt;=F10,$B$3-E10,F10-E10))</f>
        <v>1000000</v>
      </c>
      <c r="G11" s="58">
        <f>IF($B$3&lt;=F10,0,IF($B$3&lt;=G10,$B$3-F10,G10-F10))</f>
        <v>1000000</v>
      </c>
      <c r="H11" s="58">
        <f t="shared" ref="H11" si="3">IF($B$3&lt;=G10,0,IF($B$3&lt;=H10,$B$3-G10,H10-G10))</f>
        <v>0</v>
      </c>
      <c r="I11" s="58">
        <f t="shared" ref="I11" si="4">IF($B$3&lt;=H10,0,IF($B$3&lt;=I10,$B$3-H10,I10-H10))</f>
        <v>0</v>
      </c>
      <c r="J11" s="58">
        <f t="shared" ref="J11" si="5">IF($B$3&lt;=I10,0,IF($B$3&lt;=J10,$B$3-I10,J10-I10))</f>
        <v>0</v>
      </c>
      <c r="K11" s="58">
        <f t="shared" ref="K11:M11" si="6">IF($B$3&lt;=J10,0,IF($B$3&lt;=K10,$B$3-J10,K10-J10))</f>
        <v>0</v>
      </c>
      <c r="L11" s="58">
        <f t="shared" si="6"/>
        <v>0</v>
      </c>
      <c r="M11" s="58">
        <f t="shared" si="6"/>
        <v>0</v>
      </c>
    </row>
    <row r="12" spans="1:13" ht="16.5" customHeight="1">
      <c r="D12" s="55" t="s">
        <v>133</v>
      </c>
      <c r="E12" s="61">
        <f>INDEX(手数料!$AF$4:$AN$9,MATCH(①店舗情報!$B$4,手数料!$AC$4:$AC$9,1),MATCH(E$10,手数料!$AF$3:$AN$3,-1))</f>
        <v>3.5000000000000003E-2</v>
      </c>
      <c r="F12" s="61">
        <f>INDEX(手数料!$AF$4:$AN$9,MATCH(①店舗情報!$B$4,手数料!$AC$4:$AC$9,1),MATCH(F$10,手数料!$AF$3:$AN$3,-1))</f>
        <v>3.4000000000000002E-2</v>
      </c>
      <c r="G12" s="61">
        <f>INDEX(手数料!$AF$4:$AN$9,MATCH(①店舗情報!$B$4,手数料!$AC$4:$AC$9,1),MATCH(G$10,手数料!$AF$3:$AN$3,-1))</f>
        <v>3.4000000000000002E-2</v>
      </c>
      <c r="H12" s="61">
        <f>INDEX(手数料!$AF$4:$AN$9,MATCH(①店舗情報!$B$4,手数料!$AC$4:$AC$9,1),MATCH(H$10,手数料!$AF$3:$AN$3,-1))</f>
        <v>3.3000000000000002E-2</v>
      </c>
      <c r="I12" s="61">
        <f>INDEX(手数料!$AF$4:$AN$9,MATCH(①店舗情報!$B$4,手数料!$AC$4:$AC$9,1),MATCH(I$10,手数料!$AF$3:$AN$3,-1))</f>
        <v>3.3000000000000002E-2</v>
      </c>
      <c r="J12" s="61">
        <f>INDEX(手数料!$AF$4:$AN$9,MATCH(①店舗情報!$B$4,手数料!$AC$4:$AC$9,1),MATCH(J$10,手数料!$AF$3:$AN$3,-1))</f>
        <v>3.2000000000000001E-2</v>
      </c>
      <c r="K12" s="61">
        <f>INDEX(手数料!$AF$4:$AN$9,MATCH(①店舗情報!$B$4,手数料!$AC$4:$AC$9,1),MATCH(K$10,手数料!$AF$3:$AN$3,-1))</f>
        <v>3.2000000000000001E-2</v>
      </c>
      <c r="L12" s="61">
        <f>INDEX(手数料!$AF$4:$AN$9,MATCH(①店舗情報!$B$4,手数料!$AC$4:$AC$9,1),MATCH(L$10,手数料!$AF$3:$AN$3,-1))</f>
        <v>0.03</v>
      </c>
      <c r="M12" s="61">
        <f>INDEX(手数料!$AF$4:$AN$9,MATCH(①店舗情報!$B$4,手数料!$AC$4:$AC$9,1),MATCH(M$10,手数料!$AF$3:$AN$3,-1))</f>
        <v>2.9000000000000001E-2</v>
      </c>
    </row>
    <row r="13" spans="1:13">
      <c r="A13" s="16" t="s">
        <v>39</v>
      </c>
      <c r="B13" s="13"/>
      <c r="D13" s="55" t="s">
        <v>134</v>
      </c>
      <c r="E13" s="54">
        <f>E12*E11</f>
        <v>35000</v>
      </c>
      <c r="F13" s="54">
        <f t="shared" ref="F13:M13" si="7">F12*F11</f>
        <v>34000</v>
      </c>
      <c r="G13" s="54">
        <f t="shared" si="7"/>
        <v>34000</v>
      </c>
      <c r="H13" s="54">
        <f t="shared" si="7"/>
        <v>0</v>
      </c>
      <c r="I13" s="54">
        <f t="shared" si="7"/>
        <v>0</v>
      </c>
      <c r="J13" s="54">
        <f t="shared" si="7"/>
        <v>0</v>
      </c>
      <c r="K13" s="54">
        <f t="shared" si="7"/>
        <v>0</v>
      </c>
      <c r="L13" s="54">
        <f t="shared" si="7"/>
        <v>0</v>
      </c>
      <c r="M13" s="54">
        <f t="shared" si="7"/>
        <v>0</v>
      </c>
    </row>
    <row r="14" spans="1:13" ht="18.5" thickBot="1">
      <c r="A14" s="36" t="s">
        <v>40</v>
      </c>
      <c r="B14" s="35" t="s">
        <v>41</v>
      </c>
      <c r="L14" s="64" t="s">
        <v>135</v>
      </c>
      <c r="M14" s="62">
        <f>SUM(E13:M13)</f>
        <v>103000</v>
      </c>
    </row>
    <row r="15" spans="1:13" ht="23.25" customHeight="1" thickTop="1" thickBot="1">
      <c r="A15" s="38" t="s">
        <v>34</v>
      </c>
      <c r="B15" s="39">
        <f ca="1">M8/B3</f>
        <v>3.783333333333333E-2</v>
      </c>
      <c r="C15" s="30"/>
      <c r="D15" s="125" t="s">
        <v>139</v>
      </c>
      <c r="E15" s="126"/>
    </row>
    <row r="16" spans="1:13" ht="25.5" customHeight="1" thickBot="1">
      <c r="A16" s="40" t="s">
        <v>44</v>
      </c>
      <c r="B16" s="41">
        <v>1E-3</v>
      </c>
      <c r="D16" s="127" t="s">
        <v>141</v>
      </c>
      <c r="E16" s="128" t="s">
        <v>142</v>
      </c>
    </row>
    <row r="17" spans="1:5" ht="22.5" customHeight="1" thickBot="1">
      <c r="A17" s="42" t="s">
        <v>43</v>
      </c>
      <c r="B17" s="41">
        <v>0.01</v>
      </c>
      <c r="D17" s="126"/>
      <c r="E17" s="126"/>
    </row>
    <row r="18" spans="1:5" ht="22.5" customHeight="1" thickBot="1">
      <c r="A18" s="42" t="s">
        <v>35</v>
      </c>
      <c r="B18" s="43">
        <f>B6/B3</f>
        <v>0.01</v>
      </c>
      <c r="C18" s="30"/>
      <c r="D18" s="125"/>
      <c r="E18" s="126"/>
    </row>
    <row r="19" spans="1:5" ht="22.5" customHeight="1" thickBot="1">
      <c r="A19" s="42" t="s">
        <v>42</v>
      </c>
      <c r="B19" s="105">
        <f>M14/B3</f>
        <v>3.4333333333333334E-2</v>
      </c>
      <c r="D19" s="126"/>
      <c r="E19" s="126"/>
    </row>
    <row r="20" spans="1:5" ht="21.75" customHeight="1" thickBot="1">
      <c r="A20" s="50" t="s">
        <v>38</v>
      </c>
      <c r="B20" s="51">
        <f>VLOOKUP(B2,手数料!A:C,3,FALSE)*1.1/①店舗情報!B5</f>
        <v>2.3833333333333335E-2</v>
      </c>
      <c r="D20" s="126"/>
      <c r="E20" s="126"/>
    </row>
    <row r="21" spans="1:5" ht="21.75" customHeight="1" thickTop="1" thickBot="1">
      <c r="A21" s="52" t="s">
        <v>45</v>
      </c>
      <c r="B21" s="53">
        <f ca="1">B15+SUM(B16:B20)</f>
        <v>0.11699999999999999</v>
      </c>
      <c r="D21" s="126"/>
      <c r="E21" s="126"/>
    </row>
    <row r="22" spans="1:5" ht="21.75" customHeight="1" thickBot="1">
      <c r="A22" s="44" t="s">
        <v>106</v>
      </c>
      <c r="B22" s="63">
        <f>B9/B3</f>
        <v>0</v>
      </c>
      <c r="D22" s="126" t="s">
        <v>143</v>
      </c>
      <c r="E22" s="126">
        <f>SUM(E17:E21)</f>
        <v>0</v>
      </c>
    </row>
    <row r="23" spans="1:5" ht="18.5" thickTop="1">
      <c r="A23" s="38" t="s">
        <v>99</v>
      </c>
      <c r="B23" s="56">
        <f ca="1">B22+B21</f>
        <v>0.11699999999999999</v>
      </c>
      <c r="D23" s="126"/>
      <c r="E23" s="126"/>
    </row>
  </sheetData>
  <phoneticPr fontId="1"/>
  <dataValidations count="1">
    <dataValidation type="list" allowBlank="1" showInputMessage="1" showErrorMessage="1" sqref="B2" xr:uid="{1B82AEE1-CACB-4FD0-9E87-875418DD7FE0}">
      <formula1>"メガショッププラン,スタンダードプラン,プレミアムライトプラン,ライトプラン,がんばれプラン"</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9A1B-CE99-4D93-B359-4C3773DB4D38}">
  <sheetPr codeName="Sheet8"/>
  <dimension ref="A1:H13"/>
  <sheetViews>
    <sheetView workbookViewId="0">
      <selection activeCell="E9" sqref="E9"/>
    </sheetView>
  </sheetViews>
  <sheetFormatPr defaultRowHeight="18"/>
  <cols>
    <col min="3" max="3" width="12.1640625" customWidth="1"/>
  </cols>
  <sheetData>
    <row r="1" spans="1:8">
      <c r="A1" t="s">
        <v>46</v>
      </c>
      <c r="B1" t="s">
        <v>68</v>
      </c>
      <c r="C1" t="s">
        <v>48</v>
      </c>
      <c r="D1" t="s">
        <v>49</v>
      </c>
      <c r="E1" t="s">
        <v>67</v>
      </c>
      <c r="F1" t="s">
        <v>66</v>
      </c>
      <c r="G1" t="s">
        <v>50</v>
      </c>
      <c r="H1" t="s">
        <v>136</v>
      </c>
    </row>
    <row r="2" spans="1:8">
      <c r="B2">
        <v>60</v>
      </c>
      <c r="C2" t="s">
        <v>57</v>
      </c>
      <c r="D2" t="s">
        <v>51</v>
      </c>
      <c r="E2" t="s">
        <v>63</v>
      </c>
      <c r="F2" t="s">
        <v>63</v>
      </c>
      <c r="G2" t="s">
        <v>112</v>
      </c>
    </row>
    <row r="3" spans="1:8">
      <c r="B3">
        <v>80</v>
      </c>
      <c r="C3" t="s">
        <v>182</v>
      </c>
      <c r="D3" t="s">
        <v>52</v>
      </c>
      <c r="E3" t="s">
        <v>62</v>
      </c>
      <c r="F3" t="s">
        <v>62</v>
      </c>
    </row>
    <row r="4" spans="1:8">
      <c r="B4">
        <v>100</v>
      </c>
      <c r="C4" t="s">
        <v>186</v>
      </c>
      <c r="D4" t="s">
        <v>53</v>
      </c>
      <c r="E4" t="s">
        <v>61</v>
      </c>
      <c r="F4" t="s">
        <v>61</v>
      </c>
    </row>
    <row r="5" spans="1:8">
      <c r="B5">
        <v>120</v>
      </c>
      <c r="C5" t="s">
        <v>187</v>
      </c>
      <c r="D5" t="s">
        <v>54</v>
      </c>
      <c r="E5" t="s">
        <v>60</v>
      </c>
      <c r="F5" t="s">
        <v>60</v>
      </c>
    </row>
    <row r="6" spans="1:8">
      <c r="B6">
        <v>140</v>
      </c>
      <c r="C6" t="s">
        <v>188</v>
      </c>
      <c r="D6" t="s">
        <v>55</v>
      </c>
      <c r="E6" t="s">
        <v>59</v>
      </c>
      <c r="F6" t="s">
        <v>59</v>
      </c>
    </row>
    <row r="7" spans="1:8">
      <c r="B7">
        <v>160</v>
      </c>
      <c r="C7" t="s">
        <v>189</v>
      </c>
      <c r="D7" t="s">
        <v>56</v>
      </c>
      <c r="E7" t="s">
        <v>58</v>
      </c>
      <c r="F7" t="s">
        <v>58</v>
      </c>
    </row>
    <row r="8" spans="1:8">
      <c r="B8">
        <v>170</v>
      </c>
      <c r="C8" t="s">
        <v>185</v>
      </c>
      <c r="F8" t="s">
        <v>64</v>
      </c>
    </row>
    <row r="9" spans="1:8">
      <c r="B9">
        <v>180</v>
      </c>
      <c r="C9" t="s">
        <v>183</v>
      </c>
      <c r="F9" t="s">
        <v>65</v>
      </c>
    </row>
    <row r="10" spans="1:8">
      <c r="B10">
        <v>200</v>
      </c>
      <c r="C10" t="s">
        <v>184</v>
      </c>
    </row>
    <row r="11" spans="1:8">
      <c r="B11">
        <v>220</v>
      </c>
    </row>
    <row r="12" spans="1:8">
      <c r="B12">
        <v>240</v>
      </c>
    </row>
    <row r="13" spans="1:8">
      <c r="B13">
        <v>260</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30A32-4264-4F46-AB6A-F79EB58F7EF3}">
  <sheetPr codeName="Sheet5">
    <tabColor theme="7" tint="0.79998168889431442"/>
  </sheetPr>
  <dimension ref="A1:R58"/>
  <sheetViews>
    <sheetView topLeftCell="B25" zoomScale="80" zoomScaleNormal="80" workbookViewId="0">
      <selection activeCell="E40" sqref="E40"/>
    </sheetView>
  </sheetViews>
  <sheetFormatPr defaultRowHeight="18"/>
  <cols>
    <col min="1" max="1" width="19.75" style="66" hidden="1" customWidth="1"/>
    <col min="2" max="2" width="14.75" customWidth="1"/>
    <col min="16" max="16" width="9.33203125" bestFit="1" customWidth="1"/>
  </cols>
  <sheetData>
    <row r="1" spans="1:18" ht="41.25" customHeight="1">
      <c r="B1" s="107" t="s">
        <v>165</v>
      </c>
      <c r="C1" s="145" t="s">
        <v>166</v>
      </c>
      <c r="D1" s="145"/>
      <c r="E1" s="145"/>
      <c r="F1" s="145"/>
      <c r="G1" s="145"/>
    </row>
    <row r="2" spans="1:18">
      <c r="D2" s="1" t="s">
        <v>71</v>
      </c>
      <c r="E2" s="1" t="s">
        <v>72</v>
      </c>
      <c r="F2" s="1" t="s">
        <v>73</v>
      </c>
      <c r="G2" s="1" t="s">
        <v>74</v>
      </c>
      <c r="H2" s="1" t="s">
        <v>75</v>
      </c>
      <c r="I2" s="1" t="s">
        <v>76</v>
      </c>
      <c r="J2" s="1" t="s">
        <v>77</v>
      </c>
      <c r="K2" s="1" t="s">
        <v>78</v>
      </c>
      <c r="L2" s="1" t="s">
        <v>79</v>
      </c>
      <c r="M2" s="1" t="s">
        <v>80</v>
      </c>
      <c r="N2" s="1" t="s">
        <v>81</v>
      </c>
      <c r="O2" s="1" t="s">
        <v>82</v>
      </c>
      <c r="P2" s="1" t="s">
        <v>85</v>
      </c>
    </row>
    <row r="3" spans="1:18">
      <c r="B3" s="1" t="s">
        <v>109</v>
      </c>
      <c r="C3" s="1"/>
      <c r="D3" s="97">
        <v>2.4E-2</v>
      </c>
      <c r="E3" s="97">
        <v>5.6800000000000003E-2</v>
      </c>
      <c r="F3" s="97">
        <v>2.5100000000000001E-2</v>
      </c>
      <c r="G3" s="97">
        <v>4.9599999999999998E-2</v>
      </c>
      <c r="H3" s="97">
        <v>0.24</v>
      </c>
      <c r="I3" s="97">
        <v>1.9400000000000001E-2</v>
      </c>
      <c r="J3" s="97">
        <v>0.1048</v>
      </c>
      <c r="K3" s="97">
        <v>2.5000000000000001E-2</v>
      </c>
      <c r="L3" s="97">
        <v>0.4</v>
      </c>
      <c r="M3" s="97">
        <v>3.5000000000000003E-2</v>
      </c>
      <c r="N3" s="97">
        <v>1.9900000000000001E-2</v>
      </c>
      <c r="O3" s="97">
        <v>0</v>
      </c>
      <c r="P3" s="97">
        <v>0</v>
      </c>
    </row>
    <row r="4" spans="1:18">
      <c r="D4" s="48"/>
      <c r="E4" s="48"/>
      <c r="F4" s="48"/>
      <c r="G4" s="48"/>
      <c r="H4" s="48"/>
      <c r="I4" s="48"/>
      <c r="J4" s="48"/>
      <c r="K4" s="48"/>
      <c r="L4" s="48"/>
      <c r="M4" s="48"/>
      <c r="N4" s="48"/>
      <c r="O4" s="48"/>
      <c r="P4" s="48"/>
    </row>
    <row r="5" spans="1:18">
      <c r="B5" t="s">
        <v>84</v>
      </c>
      <c r="C5" s="144"/>
      <c r="D5" s="144"/>
      <c r="E5" s="144"/>
      <c r="F5" s="144"/>
      <c r="G5" s="144"/>
    </row>
    <row r="6" spans="1:18">
      <c r="B6" s="1" t="s">
        <v>70</v>
      </c>
      <c r="C6" s="88" t="s">
        <v>111</v>
      </c>
      <c r="D6" s="47" t="s">
        <v>71</v>
      </c>
      <c r="E6" s="1" t="s">
        <v>72</v>
      </c>
      <c r="F6" s="1" t="s">
        <v>73</v>
      </c>
      <c r="G6" s="1" t="s">
        <v>74</v>
      </c>
      <c r="H6" s="1" t="s">
        <v>75</v>
      </c>
      <c r="I6" s="1" t="s">
        <v>76</v>
      </c>
      <c r="J6" s="1" t="s">
        <v>77</v>
      </c>
      <c r="K6" s="1" t="s">
        <v>78</v>
      </c>
      <c r="L6" s="1" t="s">
        <v>79</v>
      </c>
      <c r="M6" s="1" t="s">
        <v>80</v>
      </c>
      <c r="N6" s="1" t="s">
        <v>81</v>
      </c>
      <c r="O6" s="1" t="s">
        <v>82</v>
      </c>
      <c r="P6" s="88" t="s">
        <v>85</v>
      </c>
      <c r="Q6" s="89" t="s">
        <v>83</v>
      </c>
      <c r="R6" s="47" t="s">
        <v>7</v>
      </c>
    </row>
    <row r="7" spans="1:18">
      <c r="A7" s="67" t="str">
        <f>$B$5&amp;B7</f>
        <v>宅配便60</v>
      </c>
      <c r="B7" s="1">
        <v>60</v>
      </c>
      <c r="C7" s="91">
        <f>Q7+R7</f>
        <v>522</v>
      </c>
      <c r="D7" s="87">
        <v>535</v>
      </c>
      <c r="E7" s="87">
        <v>535</v>
      </c>
      <c r="F7" s="87">
        <v>475</v>
      </c>
      <c r="G7" s="87">
        <v>475</v>
      </c>
      <c r="H7" s="87">
        <v>455</v>
      </c>
      <c r="I7" s="87">
        <v>500</v>
      </c>
      <c r="J7" s="87">
        <v>470</v>
      </c>
      <c r="K7" s="87">
        <v>470</v>
      </c>
      <c r="L7" s="87">
        <v>520</v>
      </c>
      <c r="M7" s="87">
        <v>605</v>
      </c>
      <c r="N7" s="87">
        <v>675</v>
      </c>
      <c r="O7" s="87">
        <v>500</v>
      </c>
      <c r="P7" s="87">
        <v>500</v>
      </c>
      <c r="Q7" s="90">
        <f>ROUNDUP(SUMPRODUCT($D$3:$P$3,D7:P7)+AF7,0)</f>
        <v>502</v>
      </c>
      <c r="R7" s="87">
        <v>20</v>
      </c>
    </row>
    <row r="8" spans="1:18">
      <c r="A8" s="67" t="str">
        <f t="shared" ref="A8:A18" si="0">$B$5&amp;B8</f>
        <v>宅配便80</v>
      </c>
      <c r="B8" s="1">
        <v>80</v>
      </c>
      <c r="C8" s="91">
        <f t="shared" ref="C8:C18" si="1">Q8+R8</f>
        <v>0</v>
      </c>
      <c r="D8" s="87"/>
      <c r="E8" s="87"/>
      <c r="F8" s="87"/>
      <c r="G8" s="87"/>
      <c r="H8" s="87"/>
      <c r="I8" s="87"/>
      <c r="J8" s="87"/>
      <c r="K8" s="87"/>
      <c r="L8" s="87"/>
      <c r="M8" s="87"/>
      <c r="N8" s="87"/>
      <c r="O8" s="87"/>
      <c r="P8" s="87"/>
      <c r="Q8" s="90">
        <f t="shared" ref="Q8:Q12" si="2">ROUNDUP(SUMPRODUCT($D$3:$P$3,D8:P8)+AF8,0)</f>
        <v>0</v>
      </c>
      <c r="R8" s="87"/>
    </row>
    <row r="9" spans="1:18">
      <c r="A9" s="67" t="str">
        <f t="shared" si="0"/>
        <v>宅配便100</v>
      </c>
      <c r="B9" s="1">
        <v>100</v>
      </c>
      <c r="C9" s="91">
        <f t="shared" si="1"/>
        <v>0</v>
      </c>
      <c r="D9" s="87"/>
      <c r="E9" s="87"/>
      <c r="F9" s="87"/>
      <c r="G9" s="87"/>
      <c r="H9" s="87"/>
      <c r="I9" s="87"/>
      <c r="J9" s="87"/>
      <c r="K9" s="87"/>
      <c r="L9" s="87"/>
      <c r="M9" s="87"/>
      <c r="N9" s="87"/>
      <c r="O9" s="87"/>
      <c r="P9" s="87"/>
      <c r="Q9" s="90">
        <f t="shared" si="2"/>
        <v>0</v>
      </c>
      <c r="R9" s="87"/>
    </row>
    <row r="10" spans="1:18">
      <c r="A10" s="67" t="str">
        <f t="shared" si="0"/>
        <v>宅配便120</v>
      </c>
      <c r="B10" s="1">
        <v>120</v>
      </c>
      <c r="C10" s="91">
        <f t="shared" si="1"/>
        <v>0</v>
      </c>
      <c r="D10" s="87"/>
      <c r="E10" s="87"/>
      <c r="F10" s="87"/>
      <c r="G10" s="87"/>
      <c r="H10" s="87"/>
      <c r="I10" s="87"/>
      <c r="J10" s="87"/>
      <c r="K10" s="87"/>
      <c r="L10" s="87"/>
      <c r="M10" s="87"/>
      <c r="N10" s="87"/>
      <c r="O10" s="87"/>
      <c r="P10" s="87"/>
      <c r="Q10" s="90">
        <f t="shared" si="2"/>
        <v>0</v>
      </c>
      <c r="R10" s="87"/>
    </row>
    <row r="11" spans="1:18">
      <c r="A11" s="67" t="str">
        <f t="shared" si="0"/>
        <v>宅配便140</v>
      </c>
      <c r="B11" s="1">
        <v>140</v>
      </c>
      <c r="C11" s="91">
        <f t="shared" si="1"/>
        <v>0</v>
      </c>
      <c r="D11" s="87"/>
      <c r="E11" s="87"/>
      <c r="F11" s="87"/>
      <c r="G11" s="87"/>
      <c r="H11" s="87"/>
      <c r="I11" s="87"/>
      <c r="J11" s="87"/>
      <c r="K11" s="87"/>
      <c r="L11" s="87"/>
      <c r="M11" s="87"/>
      <c r="N11" s="87"/>
      <c r="O11" s="87"/>
      <c r="P11" s="87"/>
      <c r="Q11" s="90">
        <f t="shared" si="2"/>
        <v>0</v>
      </c>
      <c r="R11" s="87"/>
    </row>
    <row r="12" spans="1:18">
      <c r="A12" s="67" t="str">
        <f t="shared" si="0"/>
        <v>宅配便160</v>
      </c>
      <c r="B12" s="1">
        <v>160</v>
      </c>
      <c r="C12" s="91">
        <f t="shared" si="1"/>
        <v>0</v>
      </c>
      <c r="D12" s="87"/>
      <c r="E12" s="87"/>
      <c r="F12" s="87"/>
      <c r="G12" s="87"/>
      <c r="H12" s="87"/>
      <c r="I12" s="87"/>
      <c r="J12" s="87"/>
      <c r="K12" s="87"/>
      <c r="L12" s="87"/>
      <c r="M12" s="87"/>
      <c r="N12" s="87"/>
      <c r="O12" s="87"/>
      <c r="P12" s="87"/>
      <c r="Q12" s="90">
        <f t="shared" si="2"/>
        <v>0</v>
      </c>
      <c r="R12" s="87"/>
    </row>
    <row r="13" spans="1:18">
      <c r="A13" s="67" t="str">
        <f t="shared" si="0"/>
        <v>宅配便170</v>
      </c>
      <c r="B13" s="1">
        <v>170</v>
      </c>
      <c r="C13" s="91">
        <f t="shared" si="1"/>
        <v>0</v>
      </c>
      <c r="D13" s="87"/>
      <c r="E13" s="87"/>
      <c r="F13" s="87"/>
      <c r="G13" s="87"/>
      <c r="H13" s="87"/>
      <c r="I13" s="87"/>
      <c r="J13" s="87"/>
      <c r="K13" s="87"/>
      <c r="L13" s="87"/>
      <c r="M13" s="87"/>
      <c r="N13" s="87"/>
      <c r="O13" s="87"/>
      <c r="P13" s="87"/>
      <c r="Q13" s="90">
        <f t="shared" ref="Q13:Q18" si="3">ROUNDUP(SUMPRODUCT($D$3:$P$3,D13:P13)+AF13,0)</f>
        <v>0</v>
      </c>
      <c r="R13" s="87"/>
    </row>
    <row r="14" spans="1:18">
      <c r="A14" s="67" t="str">
        <f t="shared" si="0"/>
        <v>宅配便180</v>
      </c>
      <c r="B14" s="1">
        <v>180</v>
      </c>
      <c r="C14" s="91">
        <f t="shared" si="1"/>
        <v>0</v>
      </c>
      <c r="D14" s="87"/>
      <c r="E14" s="87"/>
      <c r="F14" s="87"/>
      <c r="G14" s="87"/>
      <c r="H14" s="87"/>
      <c r="I14" s="87"/>
      <c r="J14" s="87"/>
      <c r="K14" s="87"/>
      <c r="L14" s="87"/>
      <c r="M14" s="87"/>
      <c r="N14" s="87"/>
      <c r="O14" s="87"/>
      <c r="P14" s="87"/>
      <c r="Q14" s="90">
        <f t="shared" si="3"/>
        <v>0</v>
      </c>
      <c r="R14" s="87"/>
    </row>
    <row r="15" spans="1:18">
      <c r="A15" s="67" t="str">
        <f t="shared" si="0"/>
        <v>宅配便200</v>
      </c>
      <c r="B15" s="1">
        <v>200</v>
      </c>
      <c r="C15" s="91">
        <f t="shared" si="1"/>
        <v>0</v>
      </c>
      <c r="D15" s="87"/>
      <c r="E15" s="87"/>
      <c r="F15" s="87"/>
      <c r="G15" s="87"/>
      <c r="H15" s="87"/>
      <c r="I15" s="87"/>
      <c r="J15" s="87"/>
      <c r="K15" s="87"/>
      <c r="L15" s="87"/>
      <c r="M15" s="87"/>
      <c r="N15" s="87"/>
      <c r="O15" s="87"/>
      <c r="P15" s="87"/>
      <c r="Q15" s="90">
        <f t="shared" si="3"/>
        <v>0</v>
      </c>
      <c r="R15" s="87"/>
    </row>
    <row r="16" spans="1:18">
      <c r="A16" s="67" t="str">
        <f t="shared" si="0"/>
        <v>宅配便220</v>
      </c>
      <c r="B16" s="1">
        <v>220</v>
      </c>
      <c r="C16" s="91">
        <f t="shared" si="1"/>
        <v>0</v>
      </c>
      <c r="D16" s="87"/>
      <c r="E16" s="87"/>
      <c r="F16" s="87"/>
      <c r="G16" s="87"/>
      <c r="H16" s="87"/>
      <c r="I16" s="87"/>
      <c r="J16" s="87"/>
      <c r="K16" s="87"/>
      <c r="L16" s="87"/>
      <c r="M16" s="87"/>
      <c r="N16" s="87"/>
      <c r="O16" s="87"/>
      <c r="P16" s="87"/>
      <c r="Q16" s="90">
        <f t="shared" si="3"/>
        <v>0</v>
      </c>
      <c r="R16" s="87"/>
    </row>
    <row r="17" spans="1:18">
      <c r="A17" s="67" t="str">
        <f t="shared" si="0"/>
        <v>宅配便240</v>
      </c>
      <c r="B17" s="1">
        <v>240</v>
      </c>
      <c r="C17" s="91">
        <f t="shared" si="1"/>
        <v>0</v>
      </c>
      <c r="D17" s="87"/>
      <c r="E17" s="87"/>
      <c r="F17" s="87"/>
      <c r="G17" s="87"/>
      <c r="H17" s="87"/>
      <c r="I17" s="87"/>
      <c r="J17" s="87"/>
      <c r="K17" s="87"/>
      <c r="L17" s="87"/>
      <c r="M17" s="87"/>
      <c r="N17" s="87"/>
      <c r="O17" s="87"/>
      <c r="P17" s="87"/>
      <c r="Q17" s="90">
        <f t="shared" si="3"/>
        <v>0</v>
      </c>
      <c r="R17" s="87"/>
    </row>
    <row r="18" spans="1:18">
      <c r="A18" s="67" t="str">
        <f t="shared" si="0"/>
        <v>宅配便260</v>
      </c>
      <c r="B18" s="1">
        <v>260</v>
      </c>
      <c r="C18" s="91">
        <f t="shared" si="1"/>
        <v>0</v>
      </c>
      <c r="D18" s="87"/>
      <c r="E18" s="87"/>
      <c r="F18" s="87"/>
      <c r="G18" s="87"/>
      <c r="H18" s="87"/>
      <c r="I18" s="87"/>
      <c r="J18" s="87"/>
      <c r="K18" s="87"/>
      <c r="L18" s="87"/>
      <c r="M18" s="87"/>
      <c r="N18" s="87"/>
      <c r="O18" s="87"/>
      <c r="P18" s="87"/>
      <c r="Q18" s="90">
        <f t="shared" si="3"/>
        <v>0</v>
      </c>
      <c r="R18" s="87"/>
    </row>
    <row r="19" spans="1:18">
      <c r="B19" t="s">
        <v>88</v>
      </c>
    </row>
    <row r="20" spans="1:18">
      <c r="B20" s="1" t="s">
        <v>70</v>
      </c>
      <c r="C20" s="88" t="s">
        <v>111</v>
      </c>
      <c r="D20" s="47" t="s">
        <v>6</v>
      </c>
      <c r="E20" s="1" t="s">
        <v>110</v>
      </c>
      <c r="F20" s="1" t="s">
        <v>7</v>
      </c>
    </row>
    <row r="21" spans="1:18">
      <c r="A21" s="67" t="str">
        <f t="shared" ref="A21:A26" si="4">$B$19&amp;B21</f>
        <v>RSL極小</v>
      </c>
      <c r="B21" s="1" t="s">
        <v>57</v>
      </c>
      <c r="C21" s="88">
        <f t="shared" ref="C21:C26" si="5">SUM(D21:F21)</f>
        <v>272</v>
      </c>
      <c r="D21" s="47">
        <v>199</v>
      </c>
      <c r="E21" s="1">
        <v>52</v>
      </c>
      <c r="F21" s="1">
        <v>21</v>
      </c>
    </row>
    <row r="22" spans="1:18">
      <c r="A22" s="67" t="str">
        <f t="shared" si="4"/>
        <v>RSL小5cm</v>
      </c>
      <c r="B22" s="1" t="s">
        <v>182</v>
      </c>
      <c r="C22" s="88">
        <f t="shared" si="5"/>
        <v>454</v>
      </c>
      <c r="D22" s="47">
        <v>342</v>
      </c>
      <c r="E22" s="1">
        <v>84</v>
      </c>
      <c r="F22" s="1">
        <v>28</v>
      </c>
    </row>
    <row r="23" spans="1:18">
      <c r="A23" s="67" t="str">
        <f t="shared" si="4"/>
        <v>RSL小40</v>
      </c>
      <c r="B23" s="1" t="s">
        <v>186</v>
      </c>
      <c r="C23" s="88">
        <f t="shared" si="5"/>
        <v>521</v>
      </c>
      <c r="D23" s="47">
        <v>409</v>
      </c>
      <c r="E23" s="1">
        <v>84</v>
      </c>
      <c r="F23" s="1">
        <v>28</v>
      </c>
    </row>
    <row r="24" spans="1:18">
      <c r="A24" s="67" t="str">
        <f t="shared" si="4"/>
        <v>RSL小60</v>
      </c>
      <c r="B24" s="1" t="s">
        <v>187</v>
      </c>
      <c r="C24" s="88">
        <f t="shared" si="5"/>
        <v>534</v>
      </c>
      <c r="D24" s="47">
        <v>422</v>
      </c>
      <c r="E24" s="1">
        <v>84</v>
      </c>
      <c r="F24" s="1">
        <v>28</v>
      </c>
    </row>
    <row r="25" spans="1:18">
      <c r="A25" s="67" t="str">
        <f t="shared" si="4"/>
        <v>RSL小80</v>
      </c>
      <c r="B25" s="1" t="s">
        <v>188</v>
      </c>
      <c r="C25" s="88">
        <f t="shared" si="5"/>
        <v>626</v>
      </c>
      <c r="D25" s="47">
        <v>503</v>
      </c>
      <c r="E25" s="1">
        <v>84</v>
      </c>
      <c r="F25" s="1">
        <v>39</v>
      </c>
    </row>
    <row r="26" spans="1:18">
      <c r="A26" s="67" t="str">
        <f t="shared" si="4"/>
        <v>RSL小100</v>
      </c>
      <c r="B26" s="1" t="s">
        <v>189</v>
      </c>
      <c r="C26" s="88">
        <f t="shared" si="5"/>
        <v>734</v>
      </c>
      <c r="D26" s="47">
        <v>599</v>
      </c>
      <c r="E26" s="1">
        <v>84</v>
      </c>
      <c r="F26" s="1">
        <v>51</v>
      </c>
    </row>
    <row r="27" spans="1:18">
      <c r="A27" s="67" t="str">
        <f t="shared" ref="A27:A29" si="6">$B$19&amp;B27</f>
        <v>RSL中120</v>
      </c>
      <c r="B27" s="1" t="s">
        <v>185</v>
      </c>
      <c r="C27" s="88">
        <f t="shared" ref="C27:C29" si="7">SUM(D27:F27)</f>
        <v>887</v>
      </c>
      <c r="D27" s="47">
        <v>723</v>
      </c>
      <c r="E27" s="1">
        <v>105</v>
      </c>
      <c r="F27" s="1">
        <v>59</v>
      </c>
    </row>
    <row r="28" spans="1:18">
      <c r="A28" s="67" t="str">
        <f t="shared" si="6"/>
        <v>RSL大140</v>
      </c>
      <c r="B28" s="1" t="s">
        <v>183</v>
      </c>
      <c r="C28" s="88">
        <f t="shared" si="7"/>
        <v>1172</v>
      </c>
      <c r="D28" s="47">
        <v>880</v>
      </c>
      <c r="E28" s="1">
        <v>210</v>
      </c>
      <c r="F28" s="1">
        <v>82</v>
      </c>
    </row>
    <row r="29" spans="1:18">
      <c r="A29" s="67" t="str">
        <f t="shared" si="6"/>
        <v>RSL大160</v>
      </c>
      <c r="B29" s="1" t="s">
        <v>184</v>
      </c>
      <c r="C29" s="88">
        <f t="shared" si="7"/>
        <v>1368</v>
      </c>
      <c r="D29" s="47">
        <v>1047</v>
      </c>
      <c r="E29" s="1">
        <v>210</v>
      </c>
      <c r="F29" s="1">
        <v>111</v>
      </c>
    </row>
    <row r="30" spans="1:18">
      <c r="B30" t="s">
        <v>86</v>
      </c>
    </row>
    <row r="31" spans="1:18">
      <c r="B31" s="1" t="s">
        <v>70</v>
      </c>
      <c r="C31" s="88" t="s">
        <v>111</v>
      </c>
      <c r="D31" s="47" t="s">
        <v>87</v>
      </c>
      <c r="E31" s="1" t="s">
        <v>7</v>
      </c>
    </row>
    <row r="32" spans="1:18">
      <c r="A32" s="67" t="str">
        <f>$B$30&amp;B32</f>
        <v>メール便厚さ1cm以内</v>
      </c>
      <c r="B32" s="28" t="s">
        <v>51</v>
      </c>
      <c r="C32" s="88">
        <f>D32+E32</f>
        <v>270</v>
      </c>
      <c r="D32" s="87">
        <v>250</v>
      </c>
      <c r="E32" s="2">
        <v>20</v>
      </c>
    </row>
    <row r="33" spans="1:5">
      <c r="A33" s="67" t="str">
        <f t="shared" ref="A33:A37" si="8">$B$30&amp;B33</f>
        <v>メール便厚さ2cm以内</v>
      </c>
      <c r="B33" s="28" t="s">
        <v>52</v>
      </c>
      <c r="C33" s="88">
        <f t="shared" ref="C33:C37" si="9">D33+E33</f>
        <v>330</v>
      </c>
      <c r="D33" s="87">
        <v>310</v>
      </c>
      <c r="E33" s="2">
        <v>20</v>
      </c>
    </row>
    <row r="34" spans="1:5">
      <c r="A34" s="67" t="str">
        <f t="shared" si="8"/>
        <v>メール便厚さ3cm以内</v>
      </c>
      <c r="B34" s="28" t="s">
        <v>53</v>
      </c>
      <c r="C34" s="88">
        <f t="shared" si="9"/>
        <v>380</v>
      </c>
      <c r="D34" s="87">
        <v>360</v>
      </c>
      <c r="E34" s="2">
        <v>20</v>
      </c>
    </row>
    <row r="35" spans="1:5">
      <c r="A35" s="67" t="str">
        <f t="shared" si="8"/>
        <v>メール便クリックポスト</v>
      </c>
      <c r="B35" s="49" t="s">
        <v>54</v>
      </c>
      <c r="C35" s="88">
        <f t="shared" si="9"/>
        <v>205</v>
      </c>
      <c r="D35" s="47">
        <v>185</v>
      </c>
      <c r="E35" s="2">
        <v>20</v>
      </c>
    </row>
    <row r="36" spans="1:5">
      <c r="A36" s="67" t="str">
        <f t="shared" si="8"/>
        <v>メール便レターパックライト</v>
      </c>
      <c r="B36" s="49" t="s">
        <v>90</v>
      </c>
      <c r="C36" s="88">
        <f>D36+E36</f>
        <v>430</v>
      </c>
      <c r="D36" s="47">
        <v>430</v>
      </c>
    </row>
    <row r="37" spans="1:5">
      <c r="A37" s="67" t="str">
        <f t="shared" si="8"/>
        <v>メール便レターパックプラス</v>
      </c>
      <c r="B37" s="49" t="s">
        <v>89</v>
      </c>
      <c r="C37" s="88">
        <f t="shared" si="9"/>
        <v>600</v>
      </c>
      <c r="D37" s="47">
        <v>600</v>
      </c>
    </row>
    <row r="38" spans="1:5">
      <c r="B38" t="s">
        <v>67</v>
      </c>
    </row>
    <row r="39" spans="1:5">
      <c r="B39" s="1" t="s">
        <v>70</v>
      </c>
      <c r="C39" s="88" t="s">
        <v>111</v>
      </c>
      <c r="D39" s="47" t="s">
        <v>87</v>
      </c>
      <c r="E39" s="1" t="s">
        <v>7</v>
      </c>
    </row>
    <row r="40" spans="1:5">
      <c r="A40" s="67" t="str">
        <f>$B$38&amp;B40</f>
        <v>定形外郵便規格内50ｇ以内</v>
      </c>
      <c r="B40" s="1" t="s">
        <v>63</v>
      </c>
      <c r="C40" s="88">
        <f>D40+E40</f>
        <v>160</v>
      </c>
      <c r="D40" s="47">
        <v>140</v>
      </c>
      <c r="E40" s="2">
        <v>20</v>
      </c>
    </row>
    <row r="41" spans="1:5">
      <c r="A41" s="67" t="str">
        <f t="shared" ref="A41:A45" si="10">$B$38&amp;B41</f>
        <v>定形外郵便規格内100ｇ以内</v>
      </c>
      <c r="B41" s="1" t="s">
        <v>92</v>
      </c>
      <c r="C41" s="88">
        <f t="shared" ref="C41:C45" si="11">D41+E41</f>
        <v>200</v>
      </c>
      <c r="D41" s="47">
        <v>180</v>
      </c>
      <c r="E41" s="2">
        <v>20</v>
      </c>
    </row>
    <row r="42" spans="1:5">
      <c r="A42" s="67" t="str">
        <f t="shared" si="10"/>
        <v>定形外郵便規格内150ｇ以内</v>
      </c>
      <c r="B42" s="1" t="s">
        <v>93</v>
      </c>
      <c r="C42" s="88">
        <f t="shared" si="11"/>
        <v>290</v>
      </c>
      <c r="D42" s="47">
        <v>270</v>
      </c>
      <c r="E42" s="2">
        <v>20</v>
      </c>
    </row>
    <row r="43" spans="1:5">
      <c r="A43" s="67" t="str">
        <f t="shared" si="10"/>
        <v>定形外郵便規格内250ｇ以内</v>
      </c>
      <c r="B43" s="1" t="s">
        <v>94</v>
      </c>
      <c r="C43" s="88">
        <f t="shared" si="11"/>
        <v>340</v>
      </c>
      <c r="D43" s="47">
        <v>320</v>
      </c>
      <c r="E43" s="2">
        <v>20</v>
      </c>
    </row>
    <row r="44" spans="1:5">
      <c r="A44" s="67" t="str">
        <f t="shared" si="10"/>
        <v>定形外郵便規格内500ｇ以内</v>
      </c>
      <c r="B44" s="1" t="s">
        <v>95</v>
      </c>
      <c r="C44" s="88">
        <f t="shared" si="11"/>
        <v>530</v>
      </c>
      <c r="D44" s="47">
        <v>510</v>
      </c>
      <c r="E44" s="2">
        <v>20</v>
      </c>
    </row>
    <row r="45" spans="1:5">
      <c r="A45" s="67" t="str">
        <f t="shared" si="10"/>
        <v>定形外郵便規格内1kg以内</v>
      </c>
      <c r="B45" s="1" t="s">
        <v>91</v>
      </c>
      <c r="C45" s="88">
        <f t="shared" si="11"/>
        <v>770</v>
      </c>
      <c r="D45" s="47">
        <v>750</v>
      </c>
      <c r="E45" s="2">
        <v>20</v>
      </c>
    </row>
    <row r="46" spans="1:5">
      <c r="B46" t="s">
        <v>66</v>
      </c>
    </row>
    <row r="47" spans="1:5">
      <c r="B47" s="1" t="s">
        <v>70</v>
      </c>
      <c r="C47" s="88" t="s">
        <v>111</v>
      </c>
      <c r="D47" s="47" t="s">
        <v>87</v>
      </c>
      <c r="E47" s="1" t="s">
        <v>7</v>
      </c>
    </row>
    <row r="48" spans="1:5">
      <c r="A48" s="67" t="str">
        <f>$B$46&amp;B48</f>
        <v>定形外郵便規格外50ｇ以内</v>
      </c>
      <c r="B48" s="1" t="s">
        <v>63</v>
      </c>
      <c r="C48" s="88">
        <f>D48+E48</f>
        <v>280</v>
      </c>
      <c r="D48" s="47">
        <v>260</v>
      </c>
      <c r="E48" s="2">
        <v>20</v>
      </c>
    </row>
    <row r="49" spans="1:18">
      <c r="A49" s="67" t="str">
        <f t="shared" ref="A49:A55" si="12">$B$46&amp;B49</f>
        <v>定形外郵便規格外100ｇ以内</v>
      </c>
      <c r="B49" s="1" t="s">
        <v>92</v>
      </c>
      <c r="C49" s="88">
        <f t="shared" ref="C49:C55" si="13">D49+E49</f>
        <v>310</v>
      </c>
      <c r="D49" s="47">
        <v>290</v>
      </c>
      <c r="E49" s="2">
        <v>20</v>
      </c>
    </row>
    <row r="50" spans="1:18">
      <c r="A50" s="67" t="str">
        <f t="shared" si="12"/>
        <v>定形外郵便規格外150ｇ以内</v>
      </c>
      <c r="B50" s="1" t="s">
        <v>93</v>
      </c>
      <c r="C50" s="88">
        <f t="shared" si="13"/>
        <v>410</v>
      </c>
      <c r="D50" s="47">
        <v>390</v>
      </c>
      <c r="E50" s="2">
        <v>20</v>
      </c>
    </row>
    <row r="51" spans="1:18">
      <c r="A51" s="67" t="str">
        <f t="shared" si="12"/>
        <v>定形外郵便規格外250ｇ以内</v>
      </c>
      <c r="B51" s="1" t="s">
        <v>94</v>
      </c>
      <c r="C51" s="88">
        <f t="shared" si="13"/>
        <v>470</v>
      </c>
      <c r="D51" s="47">
        <v>450</v>
      </c>
      <c r="E51" s="2">
        <v>20</v>
      </c>
    </row>
    <row r="52" spans="1:18">
      <c r="A52" s="67" t="str">
        <f t="shared" si="12"/>
        <v>定形外郵便規格外500ｇ以内</v>
      </c>
      <c r="B52" s="1" t="s">
        <v>95</v>
      </c>
      <c r="C52" s="88">
        <f t="shared" si="13"/>
        <v>680</v>
      </c>
      <c r="D52" s="47">
        <v>660</v>
      </c>
      <c r="E52" s="2">
        <v>20</v>
      </c>
    </row>
    <row r="53" spans="1:18">
      <c r="A53" s="67" t="str">
        <f t="shared" si="12"/>
        <v>定形外郵便規格外1kg以内</v>
      </c>
      <c r="B53" s="1" t="s">
        <v>91</v>
      </c>
      <c r="C53" s="88">
        <f t="shared" si="13"/>
        <v>940</v>
      </c>
      <c r="D53" s="47">
        <v>920</v>
      </c>
      <c r="E53" s="2">
        <v>20</v>
      </c>
    </row>
    <row r="54" spans="1:18">
      <c r="A54" s="67" t="str">
        <f t="shared" si="12"/>
        <v>定形外郵便規格外2kg以内</v>
      </c>
      <c r="B54" s="1" t="s">
        <v>97</v>
      </c>
      <c r="C54" s="88">
        <f t="shared" si="13"/>
        <v>1370</v>
      </c>
      <c r="D54" s="47">
        <v>1350</v>
      </c>
      <c r="E54" s="2">
        <v>20</v>
      </c>
    </row>
    <row r="55" spans="1:18">
      <c r="A55" s="67" t="str">
        <f t="shared" si="12"/>
        <v>定形外郵便規格外4kg以内</v>
      </c>
      <c r="B55" s="1" t="s">
        <v>98</v>
      </c>
      <c r="C55" s="88">
        <f t="shared" si="13"/>
        <v>1770</v>
      </c>
      <c r="D55" s="47">
        <v>1750</v>
      </c>
      <c r="E55" s="2">
        <v>20</v>
      </c>
    </row>
    <row r="56" spans="1:18">
      <c r="B56" t="s">
        <v>50</v>
      </c>
    </row>
    <row r="57" spans="1:18">
      <c r="B57" s="1" t="s">
        <v>70</v>
      </c>
      <c r="C57" s="88" t="s">
        <v>111</v>
      </c>
      <c r="D57" s="47" t="s">
        <v>71</v>
      </c>
      <c r="E57" s="1" t="s">
        <v>72</v>
      </c>
      <c r="F57" s="1" t="s">
        <v>73</v>
      </c>
      <c r="G57" s="1" t="s">
        <v>74</v>
      </c>
      <c r="H57" s="1" t="s">
        <v>75</v>
      </c>
      <c r="I57" s="1" t="s">
        <v>76</v>
      </c>
      <c r="J57" s="1" t="s">
        <v>77</v>
      </c>
      <c r="K57" s="1" t="s">
        <v>78</v>
      </c>
      <c r="L57" s="1" t="s">
        <v>79</v>
      </c>
      <c r="M57" s="1" t="s">
        <v>80</v>
      </c>
      <c r="N57" s="1" t="s">
        <v>81</v>
      </c>
      <c r="O57" s="1" t="s">
        <v>82</v>
      </c>
      <c r="P57" s="88" t="s">
        <v>96</v>
      </c>
      <c r="Q57" s="89" t="s">
        <v>83</v>
      </c>
      <c r="R57" s="47" t="s">
        <v>7</v>
      </c>
    </row>
    <row r="58" spans="1:18">
      <c r="A58" s="67" t="str">
        <f>$B$56&amp;B58</f>
        <v>宅急便コンパクトｺﾝﾊﾟｸﾄ</v>
      </c>
      <c r="B58" s="1" t="s">
        <v>112</v>
      </c>
      <c r="C58" s="91">
        <f>Q58+R58</f>
        <v>510</v>
      </c>
      <c r="D58" s="87">
        <v>500</v>
      </c>
      <c r="E58" s="87">
        <v>500</v>
      </c>
      <c r="F58" s="87">
        <v>500</v>
      </c>
      <c r="G58" s="87">
        <v>500</v>
      </c>
      <c r="H58" s="87">
        <v>500</v>
      </c>
      <c r="I58" s="87">
        <v>500</v>
      </c>
      <c r="J58" s="87">
        <v>500</v>
      </c>
      <c r="K58" s="87">
        <v>500</v>
      </c>
      <c r="L58" s="87">
        <v>500</v>
      </c>
      <c r="M58" s="87">
        <v>500</v>
      </c>
      <c r="N58" s="87">
        <v>500</v>
      </c>
      <c r="O58" s="87">
        <v>500</v>
      </c>
      <c r="P58" s="87">
        <v>500</v>
      </c>
      <c r="Q58" s="90">
        <f>ROUNDUP(SUMPRODUCT($D$3:$P$3,D58:P58)+AF58,0)</f>
        <v>500</v>
      </c>
      <c r="R58" s="87">
        <v>10</v>
      </c>
    </row>
  </sheetData>
  <mergeCells count="2">
    <mergeCell ref="C5:G5"/>
    <mergeCell ref="C1:G1"/>
  </mergeCells>
  <phoneticPr fontId="1"/>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AF2EE-5D42-48A1-BC34-C2D66C51B2F0}">
  <sheetPr>
    <tabColor theme="7" tint="0.79998168889431442"/>
  </sheetPr>
  <dimension ref="C115"/>
  <sheetViews>
    <sheetView zoomScale="85" zoomScaleNormal="85" workbookViewId="0">
      <selection sqref="A1:XFD1048576"/>
    </sheetView>
  </sheetViews>
  <sheetFormatPr defaultRowHeight="18"/>
  <cols>
    <col min="36" max="36" width="16.9140625" customWidth="1"/>
  </cols>
  <sheetData>
    <row r="115" spans="3:3">
      <c r="C115" s="116"/>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316F5-ACC5-4559-A448-16840F9D84BC}">
  <sheetPr>
    <tabColor theme="7" tint="0.79998168889431442"/>
  </sheetPr>
  <dimension ref="A1"/>
  <sheetViews>
    <sheetView zoomScale="85" zoomScaleNormal="85" workbookViewId="0">
      <selection activeCell="D12" sqref="D12"/>
    </sheetView>
  </sheetViews>
  <sheetFormatPr defaultRowHeight="18"/>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83C21-48FD-4907-A76C-F21F7D5273B5}">
  <sheetPr codeName="Sheet6">
    <tabColor theme="8" tint="0.79998168889431442"/>
  </sheetPr>
  <dimension ref="A1:AN30"/>
  <sheetViews>
    <sheetView zoomScale="85" zoomScaleNormal="85" workbookViewId="0">
      <selection activeCell="E22" sqref="E22"/>
    </sheetView>
  </sheetViews>
  <sheetFormatPr defaultRowHeight="18"/>
  <cols>
    <col min="1" max="1" width="20.75" style="26" bestFit="1" customWidth="1"/>
    <col min="2" max="2" width="8.33203125" style="26" bestFit="1" customWidth="1"/>
    <col min="3" max="3" width="9.83203125" style="26" bestFit="1" customWidth="1"/>
    <col min="4" max="4" width="1.75" customWidth="1"/>
    <col min="5" max="5" width="19.25" style="26" bestFit="1" customWidth="1"/>
    <col min="6" max="6" width="8.08203125" style="26" customWidth="1"/>
    <col min="7" max="7" width="3.25" style="26" customWidth="1"/>
    <col min="8" max="8" width="7.25" style="26" customWidth="1"/>
    <col min="9" max="9" width="10.58203125" style="26" bestFit="1" customWidth="1"/>
    <col min="10" max="11" width="9.58203125" style="26" bestFit="1" customWidth="1"/>
    <col min="12" max="15" width="8.75" style="26" bestFit="1" customWidth="1"/>
    <col min="16" max="16" width="2.08203125" customWidth="1"/>
    <col min="17" max="17" width="19.75" style="26" customWidth="1"/>
    <col min="18" max="18" width="8.25" style="26" customWidth="1"/>
    <col min="19" max="19" width="3.5" style="26" bestFit="1" customWidth="1"/>
    <col min="20" max="20" width="7.5" style="26" bestFit="1" customWidth="1"/>
    <col min="21" max="21" width="10.58203125" style="26" bestFit="1" customWidth="1"/>
    <col min="22" max="22" width="9.58203125" style="26" customWidth="1"/>
    <col min="23" max="23" width="9.58203125" style="26" bestFit="1" customWidth="1"/>
    <col min="24" max="27" width="9.08203125" style="26" bestFit="1" customWidth="1"/>
    <col min="28" max="28" width="1.33203125" customWidth="1"/>
    <col min="29" max="29" width="8.25" customWidth="1"/>
    <col min="30" max="30" width="3.5" bestFit="1" customWidth="1"/>
    <col min="31" max="31" width="7.5" bestFit="1" customWidth="1"/>
    <col min="32" max="32" width="12" bestFit="1" customWidth="1"/>
    <col min="33" max="34" width="10.58203125" bestFit="1" customWidth="1"/>
    <col min="35" max="35" width="9.08203125" bestFit="1" customWidth="1"/>
    <col min="36" max="37" width="9.08203125" customWidth="1"/>
    <col min="38" max="40" width="9.08203125" bestFit="1" customWidth="1"/>
  </cols>
  <sheetData>
    <row r="1" spans="1:40">
      <c r="A1" s="26" t="s">
        <v>28</v>
      </c>
      <c r="E1" s="23" t="s">
        <v>32</v>
      </c>
      <c r="F1" s="24"/>
      <c r="G1" s="24"/>
      <c r="H1" s="25"/>
      <c r="O1" s="25"/>
      <c r="Q1" s="23" t="s">
        <v>33</v>
      </c>
      <c r="AC1" s="26" t="s">
        <v>37</v>
      </c>
      <c r="AD1" s="26"/>
      <c r="AE1" s="26"/>
      <c r="AF1" s="26"/>
      <c r="AG1" s="26"/>
      <c r="AH1" s="26"/>
      <c r="AI1" s="26"/>
      <c r="AJ1" s="26"/>
      <c r="AK1" s="26"/>
      <c r="AL1" s="26"/>
      <c r="AM1" s="26"/>
      <c r="AN1" s="26"/>
    </row>
    <row r="2" spans="1:40">
      <c r="A2" s="12" t="s">
        <v>16</v>
      </c>
      <c r="B2" s="12" t="s">
        <v>21</v>
      </c>
      <c r="C2" s="12" t="s">
        <v>22</v>
      </c>
      <c r="F2" s="27"/>
      <c r="G2" s="27"/>
      <c r="H2" s="17"/>
      <c r="I2" s="12" t="s">
        <v>25</v>
      </c>
      <c r="J2" s="28"/>
      <c r="K2" s="28"/>
      <c r="L2" s="28"/>
      <c r="M2" s="28"/>
      <c r="N2" s="28"/>
      <c r="O2" s="28"/>
      <c r="R2" s="16"/>
      <c r="S2" s="16"/>
      <c r="T2" s="17"/>
      <c r="U2" s="12" t="s">
        <v>25</v>
      </c>
      <c r="V2" s="28"/>
      <c r="W2" s="28"/>
      <c r="X2" s="28"/>
      <c r="Y2" s="28"/>
      <c r="Z2" s="28"/>
      <c r="AA2" s="28"/>
      <c r="AC2" s="16"/>
      <c r="AD2" s="16"/>
      <c r="AE2" s="17"/>
      <c r="AF2" s="12" t="s">
        <v>25</v>
      </c>
      <c r="AG2" s="28"/>
      <c r="AH2" s="28"/>
      <c r="AI2" s="28"/>
      <c r="AJ2" s="28"/>
      <c r="AK2" s="28"/>
      <c r="AL2" s="28"/>
      <c r="AM2" s="28"/>
      <c r="AN2" s="28"/>
    </row>
    <row r="3" spans="1:40">
      <c r="A3" s="11" t="s">
        <v>17</v>
      </c>
      <c r="B3" s="18">
        <v>130000</v>
      </c>
      <c r="C3" s="29">
        <f>B3*12</f>
        <v>1560000</v>
      </c>
      <c r="E3" s="24" t="s">
        <v>29</v>
      </c>
      <c r="F3" s="15" t="s">
        <v>27</v>
      </c>
      <c r="G3" s="16"/>
      <c r="H3" s="17"/>
      <c r="I3" s="18">
        <v>999999999</v>
      </c>
      <c r="J3" s="18">
        <v>30000000</v>
      </c>
      <c r="K3" s="18">
        <v>10000000</v>
      </c>
      <c r="L3" s="18">
        <v>5000000</v>
      </c>
      <c r="M3" s="18">
        <v>3000000</v>
      </c>
      <c r="N3" s="18">
        <v>2000000</v>
      </c>
      <c r="O3" s="18">
        <v>1000000</v>
      </c>
      <c r="Q3" s="14" t="s">
        <v>30</v>
      </c>
      <c r="R3" s="15" t="s">
        <v>27</v>
      </c>
      <c r="S3" s="16"/>
      <c r="T3" s="17"/>
      <c r="U3" s="18">
        <v>999999999</v>
      </c>
      <c r="V3" s="18">
        <v>30000000</v>
      </c>
      <c r="W3" s="18">
        <v>10000000</v>
      </c>
      <c r="X3" s="18">
        <v>5000000</v>
      </c>
      <c r="Y3" s="18">
        <v>3000000</v>
      </c>
      <c r="Z3" s="18">
        <v>2000000</v>
      </c>
      <c r="AA3" s="18">
        <v>1000000</v>
      </c>
      <c r="AC3" s="15" t="s">
        <v>27</v>
      </c>
      <c r="AD3" s="16"/>
      <c r="AE3" s="17"/>
      <c r="AF3" s="18">
        <v>9999999999</v>
      </c>
      <c r="AG3" s="18">
        <v>500000000</v>
      </c>
      <c r="AH3" s="18">
        <v>100000000</v>
      </c>
      <c r="AI3" s="18">
        <v>30000000</v>
      </c>
      <c r="AJ3" s="18">
        <v>10000000</v>
      </c>
      <c r="AK3" s="18">
        <v>5000000</v>
      </c>
      <c r="AL3" s="18">
        <v>3000000</v>
      </c>
      <c r="AM3" s="18">
        <v>2000000</v>
      </c>
      <c r="AN3" s="18">
        <v>1000000</v>
      </c>
    </row>
    <row r="4" spans="1:40">
      <c r="A4" s="12" t="s">
        <v>18</v>
      </c>
      <c r="B4" s="18">
        <v>65000</v>
      </c>
      <c r="C4" s="29">
        <f t="shared" ref="C4:C7" si="0">B4*12</f>
        <v>780000</v>
      </c>
      <c r="E4" s="11" t="s">
        <v>17</v>
      </c>
      <c r="F4" s="19">
        <v>0</v>
      </c>
      <c r="G4" s="20" t="s">
        <v>26</v>
      </c>
      <c r="H4" s="21">
        <v>7000</v>
      </c>
      <c r="I4" s="22">
        <v>2.4E-2</v>
      </c>
      <c r="J4" s="22">
        <v>2.5999999999999999E-2</v>
      </c>
      <c r="K4" s="22">
        <v>2.8000000000000001E-2</v>
      </c>
      <c r="L4" s="22">
        <v>2.8000000000000001E-2</v>
      </c>
      <c r="M4" s="22">
        <v>0.03</v>
      </c>
      <c r="N4" s="22">
        <v>0.03</v>
      </c>
      <c r="O4" s="22">
        <v>0.04</v>
      </c>
      <c r="Q4" s="11" t="s">
        <v>17</v>
      </c>
      <c r="R4" s="19">
        <v>0</v>
      </c>
      <c r="S4" s="20" t="s">
        <v>26</v>
      </c>
      <c r="T4" s="21">
        <v>7000</v>
      </c>
      <c r="U4" s="22">
        <v>2.9000000000000001E-2</v>
      </c>
      <c r="V4" s="22">
        <v>3.1E-2</v>
      </c>
      <c r="W4" s="22">
        <v>3.3000000000000002E-2</v>
      </c>
      <c r="X4" s="22">
        <v>3.3000000000000002E-2</v>
      </c>
      <c r="Y4" s="22">
        <v>3.5000000000000003E-2</v>
      </c>
      <c r="Z4" s="22">
        <v>3.5000000000000003E-2</v>
      </c>
      <c r="AA4" s="22">
        <v>4.4999999999999998E-2</v>
      </c>
      <c r="AC4" s="19">
        <v>0</v>
      </c>
      <c r="AD4" s="20" t="s">
        <v>26</v>
      </c>
      <c r="AE4" s="21">
        <v>7000</v>
      </c>
      <c r="AF4" s="22">
        <v>2.9000000000000001E-2</v>
      </c>
      <c r="AG4" s="22">
        <v>0.03</v>
      </c>
      <c r="AH4" s="22">
        <v>3.2000000000000001E-2</v>
      </c>
      <c r="AI4" s="22">
        <v>3.2000000000000001E-2</v>
      </c>
      <c r="AJ4" s="22">
        <v>3.3000000000000002E-2</v>
      </c>
      <c r="AK4" s="22">
        <v>3.3000000000000002E-2</v>
      </c>
      <c r="AL4" s="22">
        <v>3.4000000000000002E-2</v>
      </c>
      <c r="AM4" s="22">
        <v>3.4000000000000002E-2</v>
      </c>
      <c r="AN4" s="22">
        <v>3.5000000000000003E-2</v>
      </c>
    </row>
    <row r="5" spans="1:40">
      <c r="A5" s="12" t="s">
        <v>19</v>
      </c>
      <c r="B5" s="18">
        <v>52000</v>
      </c>
      <c r="C5" s="29">
        <f t="shared" si="0"/>
        <v>624000</v>
      </c>
      <c r="E5" s="11" t="s">
        <v>17</v>
      </c>
      <c r="F5" s="19">
        <v>7001</v>
      </c>
      <c r="G5" s="20" t="s">
        <v>26</v>
      </c>
      <c r="H5" s="21">
        <v>15000</v>
      </c>
      <c r="I5" s="22">
        <v>2.4E-2</v>
      </c>
      <c r="J5" s="22">
        <v>2.4E-2</v>
      </c>
      <c r="K5" s="22">
        <v>2.5999999999999999E-2</v>
      </c>
      <c r="L5" s="22">
        <v>2.8000000000000001E-2</v>
      </c>
      <c r="M5" s="22">
        <v>2.8000000000000001E-2</v>
      </c>
      <c r="N5" s="22">
        <v>0.03</v>
      </c>
      <c r="O5" s="22">
        <v>0.04</v>
      </c>
      <c r="Q5" s="11" t="s">
        <v>17</v>
      </c>
      <c r="R5" s="19">
        <v>7001</v>
      </c>
      <c r="S5" s="20" t="s">
        <v>26</v>
      </c>
      <c r="T5" s="21">
        <v>15000</v>
      </c>
      <c r="U5" s="22">
        <v>2.9000000000000001E-2</v>
      </c>
      <c r="V5" s="22">
        <v>2.9000000000000001E-2</v>
      </c>
      <c r="W5" s="22">
        <v>3.1E-2</v>
      </c>
      <c r="X5" s="22">
        <v>3.3000000000000002E-2</v>
      </c>
      <c r="Y5" s="22">
        <v>3.3000000000000002E-2</v>
      </c>
      <c r="Z5" s="22">
        <v>3.5000000000000003E-2</v>
      </c>
      <c r="AA5" s="22">
        <v>4.4999999999999998E-2</v>
      </c>
      <c r="AC5" s="19">
        <v>7001</v>
      </c>
      <c r="AD5" s="20" t="s">
        <v>26</v>
      </c>
      <c r="AE5" s="21">
        <v>15000</v>
      </c>
      <c r="AF5" s="22">
        <v>2.8000000000000001E-2</v>
      </c>
      <c r="AG5" s="22">
        <v>2.9000000000000001E-2</v>
      </c>
      <c r="AH5" s="22">
        <v>0.03</v>
      </c>
      <c r="AI5" s="22">
        <v>3.2000000000000001E-2</v>
      </c>
      <c r="AJ5" s="22">
        <v>3.2000000000000001E-2</v>
      </c>
      <c r="AK5" s="22">
        <v>3.3000000000000002E-2</v>
      </c>
      <c r="AL5" s="22">
        <v>3.3000000000000002E-2</v>
      </c>
      <c r="AM5" s="22">
        <v>3.4000000000000002E-2</v>
      </c>
      <c r="AN5" s="22">
        <v>3.5000000000000003E-2</v>
      </c>
    </row>
    <row r="6" spans="1:40">
      <c r="A6" s="12" t="s">
        <v>20</v>
      </c>
      <c r="B6" s="18">
        <v>52000</v>
      </c>
      <c r="C6" s="29">
        <f t="shared" si="0"/>
        <v>624000</v>
      </c>
      <c r="E6" s="11" t="s">
        <v>17</v>
      </c>
      <c r="F6" s="19">
        <v>15001</v>
      </c>
      <c r="G6" s="20" t="s">
        <v>26</v>
      </c>
      <c r="H6" s="21">
        <v>25000</v>
      </c>
      <c r="I6" s="22">
        <v>2.1999999999999999E-2</v>
      </c>
      <c r="J6" s="22">
        <v>2.4E-2</v>
      </c>
      <c r="K6" s="22">
        <v>2.4E-2</v>
      </c>
      <c r="L6" s="22">
        <v>2.5999999999999999E-2</v>
      </c>
      <c r="M6" s="22">
        <v>2.8000000000000001E-2</v>
      </c>
      <c r="N6" s="22">
        <v>2.8000000000000001E-2</v>
      </c>
      <c r="O6" s="22">
        <v>0.04</v>
      </c>
      <c r="Q6" s="11" t="s">
        <v>17</v>
      </c>
      <c r="R6" s="19">
        <v>15001</v>
      </c>
      <c r="S6" s="20" t="s">
        <v>26</v>
      </c>
      <c r="T6" s="21">
        <v>25000</v>
      </c>
      <c r="U6" s="22">
        <v>2.7E-2</v>
      </c>
      <c r="V6" s="22">
        <v>2.9000000000000001E-2</v>
      </c>
      <c r="W6" s="22">
        <v>2.9000000000000001E-2</v>
      </c>
      <c r="X6" s="22">
        <v>3.1E-2</v>
      </c>
      <c r="Y6" s="22">
        <v>3.3000000000000002E-2</v>
      </c>
      <c r="Z6" s="22">
        <v>3.3000000000000002E-2</v>
      </c>
      <c r="AA6" s="22">
        <v>4.4999999999999998E-2</v>
      </c>
      <c r="AC6" s="19">
        <v>15001</v>
      </c>
      <c r="AD6" s="20" t="s">
        <v>26</v>
      </c>
      <c r="AE6" s="21">
        <v>25000</v>
      </c>
      <c r="AF6" s="22">
        <v>2.7E-2</v>
      </c>
      <c r="AG6" s="22">
        <v>2.8000000000000001E-2</v>
      </c>
      <c r="AH6" s="22">
        <v>2.9000000000000001E-2</v>
      </c>
      <c r="AI6" s="22">
        <v>0.03</v>
      </c>
      <c r="AJ6" s="22">
        <v>3.2000000000000001E-2</v>
      </c>
      <c r="AK6" s="22">
        <v>3.2000000000000001E-2</v>
      </c>
      <c r="AL6" s="22">
        <v>3.3000000000000002E-2</v>
      </c>
      <c r="AM6" s="22">
        <v>3.3000000000000002E-2</v>
      </c>
      <c r="AN6" s="22">
        <v>3.5000000000000003E-2</v>
      </c>
    </row>
    <row r="7" spans="1:40">
      <c r="A7" s="12" t="s">
        <v>31</v>
      </c>
      <c r="B7" s="18">
        <v>25000</v>
      </c>
      <c r="C7" s="29">
        <f t="shared" si="0"/>
        <v>300000</v>
      </c>
      <c r="E7" s="11" t="s">
        <v>17</v>
      </c>
      <c r="F7" s="19">
        <v>25001</v>
      </c>
      <c r="G7" s="20" t="s">
        <v>26</v>
      </c>
      <c r="H7" s="21">
        <v>35000</v>
      </c>
      <c r="I7" s="22">
        <v>2.1999999999999999E-2</v>
      </c>
      <c r="J7" s="22">
        <v>2.1999999999999999E-2</v>
      </c>
      <c r="K7" s="22">
        <v>2.4E-2</v>
      </c>
      <c r="L7" s="22">
        <v>2.4E-2</v>
      </c>
      <c r="M7" s="22">
        <v>2.5999999999999999E-2</v>
      </c>
      <c r="N7" s="22">
        <v>2.8000000000000001E-2</v>
      </c>
      <c r="O7" s="22">
        <v>0.04</v>
      </c>
      <c r="Q7" s="11" t="s">
        <v>17</v>
      </c>
      <c r="R7" s="19">
        <v>25001</v>
      </c>
      <c r="S7" s="20" t="s">
        <v>26</v>
      </c>
      <c r="T7" s="21">
        <v>35000</v>
      </c>
      <c r="U7" s="22">
        <v>2.7E-2</v>
      </c>
      <c r="V7" s="22">
        <v>2.7E-2</v>
      </c>
      <c r="W7" s="22">
        <v>2.9000000000000001E-2</v>
      </c>
      <c r="X7" s="22">
        <v>2.9000000000000001E-2</v>
      </c>
      <c r="Y7" s="22">
        <v>3.1E-2</v>
      </c>
      <c r="Z7" s="22">
        <v>3.3000000000000002E-2</v>
      </c>
      <c r="AA7" s="22">
        <v>4.4999999999999998E-2</v>
      </c>
      <c r="AC7" s="19">
        <v>25001</v>
      </c>
      <c r="AD7" s="20" t="s">
        <v>26</v>
      </c>
      <c r="AE7" s="21">
        <v>35000</v>
      </c>
      <c r="AF7" s="22">
        <v>2.5999999999999999E-2</v>
      </c>
      <c r="AG7" s="22">
        <v>2.7E-2</v>
      </c>
      <c r="AH7" s="22">
        <v>2.8000000000000001E-2</v>
      </c>
      <c r="AI7" s="22">
        <v>2.9000000000000001E-2</v>
      </c>
      <c r="AJ7" s="22">
        <v>0.03</v>
      </c>
      <c r="AK7" s="22">
        <v>3.2000000000000001E-2</v>
      </c>
      <c r="AL7" s="22">
        <v>3.2000000000000001E-2</v>
      </c>
      <c r="AM7" s="22">
        <v>3.3000000000000002E-2</v>
      </c>
      <c r="AN7" s="22">
        <v>3.5000000000000003E-2</v>
      </c>
    </row>
    <row r="8" spans="1:40">
      <c r="A8" s="24"/>
      <c r="B8" s="24"/>
      <c r="C8" s="24"/>
      <c r="D8" s="10"/>
      <c r="E8" s="11" t="s">
        <v>17</v>
      </c>
      <c r="F8" s="19">
        <v>35001</v>
      </c>
      <c r="G8" s="20" t="s">
        <v>26</v>
      </c>
      <c r="H8" s="21">
        <v>50000</v>
      </c>
      <c r="I8" s="22">
        <v>0.02</v>
      </c>
      <c r="J8" s="22">
        <v>2.1999999999999999E-2</v>
      </c>
      <c r="K8" s="22">
        <v>2.1999999999999999E-2</v>
      </c>
      <c r="L8" s="22">
        <v>2.4E-2</v>
      </c>
      <c r="M8" s="22">
        <v>2.4E-2</v>
      </c>
      <c r="N8" s="22">
        <v>2.5999999999999999E-2</v>
      </c>
      <c r="O8" s="22">
        <v>0.04</v>
      </c>
      <c r="Q8" s="11" t="s">
        <v>17</v>
      </c>
      <c r="R8" s="19">
        <v>35001</v>
      </c>
      <c r="S8" s="20" t="s">
        <v>26</v>
      </c>
      <c r="T8" s="21">
        <v>50000</v>
      </c>
      <c r="U8" s="22">
        <v>2.5000000000000001E-2</v>
      </c>
      <c r="V8" s="22">
        <v>2.7E-2</v>
      </c>
      <c r="W8" s="22">
        <v>2.7E-2</v>
      </c>
      <c r="X8" s="22">
        <v>2.9000000000000001E-2</v>
      </c>
      <c r="Y8" s="22">
        <v>2.9000000000000001E-2</v>
      </c>
      <c r="Z8" s="22">
        <v>3.1E-2</v>
      </c>
      <c r="AA8" s="22">
        <v>4.4999999999999998E-2</v>
      </c>
      <c r="AC8" s="19">
        <v>35001</v>
      </c>
      <c r="AD8" s="20" t="s">
        <v>26</v>
      </c>
      <c r="AE8" s="21">
        <v>50000</v>
      </c>
      <c r="AF8" s="22">
        <v>2.5000000000000001E-2</v>
      </c>
      <c r="AG8" s="22">
        <v>2.5999999999999999E-2</v>
      </c>
      <c r="AH8" s="22">
        <v>2.7E-2</v>
      </c>
      <c r="AI8" s="22">
        <v>2.8000000000000001E-2</v>
      </c>
      <c r="AJ8" s="22">
        <v>2.9000000000000001E-2</v>
      </c>
      <c r="AK8" s="22">
        <v>0.03</v>
      </c>
      <c r="AL8" s="22">
        <v>3.2000000000000001E-2</v>
      </c>
      <c r="AM8" s="22">
        <v>3.2000000000000001E-2</v>
      </c>
      <c r="AN8" s="22">
        <v>3.5000000000000003E-2</v>
      </c>
    </row>
    <row r="9" spans="1:40">
      <c r="E9" s="11" t="s">
        <v>17</v>
      </c>
      <c r="F9" s="19">
        <v>50001</v>
      </c>
      <c r="G9" s="20" t="s">
        <v>26</v>
      </c>
      <c r="H9" s="21"/>
      <c r="I9" s="22">
        <v>0.02</v>
      </c>
      <c r="J9" s="22">
        <v>0.02</v>
      </c>
      <c r="K9" s="22">
        <v>2.1999999999999999E-2</v>
      </c>
      <c r="L9" s="22">
        <v>2.1999999999999999E-2</v>
      </c>
      <c r="M9" s="22">
        <v>2.4E-2</v>
      </c>
      <c r="N9" s="22">
        <v>2.4E-2</v>
      </c>
      <c r="O9" s="22">
        <v>0.04</v>
      </c>
      <c r="Q9" s="11" t="s">
        <v>17</v>
      </c>
      <c r="R9" s="19">
        <v>50001</v>
      </c>
      <c r="S9" s="20" t="s">
        <v>26</v>
      </c>
      <c r="T9" s="21"/>
      <c r="U9" s="22">
        <v>2.5000000000000001E-2</v>
      </c>
      <c r="V9" s="22">
        <v>2.5000000000000001E-2</v>
      </c>
      <c r="W9" s="22">
        <v>2.7E-2</v>
      </c>
      <c r="X9" s="22">
        <v>2.7E-2</v>
      </c>
      <c r="Y9" s="22">
        <v>2.9000000000000001E-2</v>
      </c>
      <c r="Z9" s="22">
        <v>2.9000000000000001E-2</v>
      </c>
      <c r="AA9" s="22">
        <v>4.4999999999999998E-2</v>
      </c>
      <c r="AC9" s="19">
        <v>50001</v>
      </c>
      <c r="AD9" s="20" t="s">
        <v>26</v>
      </c>
      <c r="AE9" s="21"/>
      <c r="AF9" s="22">
        <v>2.5000000000000001E-2</v>
      </c>
      <c r="AG9" s="22">
        <v>2.5000000000000001E-2</v>
      </c>
      <c r="AH9" s="22">
        <v>2.5999999999999999E-2</v>
      </c>
      <c r="AI9" s="22">
        <v>2.7E-2</v>
      </c>
      <c r="AJ9" s="22">
        <v>2.8000000000000001E-2</v>
      </c>
      <c r="AK9" s="22">
        <v>2.9000000000000001E-2</v>
      </c>
      <c r="AL9" s="22">
        <v>0.03</v>
      </c>
      <c r="AM9" s="22">
        <v>3.2000000000000001E-2</v>
      </c>
      <c r="AN9" s="22">
        <v>3.5000000000000003E-2</v>
      </c>
    </row>
    <row r="10" spans="1:40">
      <c r="E10" s="23"/>
      <c r="F10" s="24"/>
      <c r="G10" s="24"/>
      <c r="H10" s="25"/>
      <c r="O10" s="25"/>
    </row>
    <row r="11" spans="1:40">
      <c r="F11" s="27"/>
      <c r="G11" s="27"/>
      <c r="H11" s="17"/>
      <c r="I11" s="12" t="s">
        <v>25</v>
      </c>
      <c r="J11" s="28"/>
      <c r="K11" s="28"/>
      <c r="L11" s="28"/>
      <c r="M11" s="28"/>
      <c r="N11" s="28"/>
      <c r="O11" s="28"/>
      <c r="R11" s="16"/>
      <c r="S11" s="16"/>
      <c r="T11" s="17"/>
      <c r="U11" s="12" t="s">
        <v>25</v>
      </c>
      <c r="V11" s="28"/>
      <c r="W11" s="28"/>
      <c r="X11" s="28"/>
      <c r="Y11" s="28"/>
      <c r="Z11" s="28"/>
      <c r="AA11" s="28"/>
    </row>
    <row r="12" spans="1:40">
      <c r="E12" s="24" t="s">
        <v>29</v>
      </c>
      <c r="F12" s="15" t="s">
        <v>27</v>
      </c>
      <c r="G12" s="16"/>
      <c r="H12" s="17"/>
      <c r="I12" s="18">
        <v>999999999</v>
      </c>
      <c r="J12" s="18">
        <v>30000000</v>
      </c>
      <c r="K12" s="18">
        <v>10000000</v>
      </c>
      <c r="L12" s="18">
        <v>5000000</v>
      </c>
      <c r="M12" s="18">
        <v>3000000</v>
      </c>
      <c r="N12" s="18">
        <v>2000000</v>
      </c>
      <c r="O12" s="18">
        <v>1000000</v>
      </c>
      <c r="Q12" s="14" t="s">
        <v>30</v>
      </c>
      <c r="R12" s="15" t="s">
        <v>27</v>
      </c>
      <c r="S12" s="16"/>
      <c r="T12" s="17"/>
      <c r="U12" s="18">
        <v>999999999</v>
      </c>
      <c r="V12" s="18">
        <v>30000000</v>
      </c>
      <c r="W12" s="18">
        <v>10000000</v>
      </c>
      <c r="X12" s="18">
        <v>5000000</v>
      </c>
      <c r="Y12" s="18">
        <v>3000000</v>
      </c>
      <c r="Z12" s="18">
        <v>2000000</v>
      </c>
      <c r="AA12" s="18">
        <v>1000000</v>
      </c>
    </row>
    <row r="13" spans="1:40">
      <c r="E13" s="11" t="s">
        <v>18</v>
      </c>
      <c r="F13" s="19">
        <v>0</v>
      </c>
      <c r="G13" s="20" t="s">
        <v>26</v>
      </c>
      <c r="H13" s="21">
        <v>7000</v>
      </c>
      <c r="I13" s="22">
        <v>2.4E-2</v>
      </c>
      <c r="J13" s="22">
        <v>2.5999999999999999E-2</v>
      </c>
      <c r="K13" s="22">
        <v>2.8000000000000001E-2</v>
      </c>
      <c r="L13" s="22">
        <v>2.8000000000000001E-2</v>
      </c>
      <c r="M13" s="22">
        <v>0.03</v>
      </c>
      <c r="N13" s="22">
        <v>0.03</v>
      </c>
      <c r="O13" s="22">
        <v>0.04</v>
      </c>
      <c r="Q13" s="11" t="s">
        <v>18</v>
      </c>
      <c r="R13" s="19">
        <v>0</v>
      </c>
      <c r="S13" s="20" t="s">
        <v>26</v>
      </c>
      <c r="T13" s="21">
        <v>7000</v>
      </c>
      <c r="U13" s="22">
        <v>2.9000000000000001E-2</v>
      </c>
      <c r="V13" s="22">
        <v>3.1E-2</v>
      </c>
      <c r="W13" s="22">
        <v>3.3000000000000002E-2</v>
      </c>
      <c r="X13" s="22">
        <v>3.3000000000000002E-2</v>
      </c>
      <c r="Y13" s="22">
        <v>3.5000000000000003E-2</v>
      </c>
      <c r="Z13" s="22">
        <v>3.5000000000000003E-2</v>
      </c>
      <c r="AA13" s="22">
        <v>4.4999999999999998E-2</v>
      </c>
      <c r="AF13" s="9"/>
      <c r="AG13" s="9"/>
      <c r="AH13" s="9"/>
      <c r="AI13" s="9"/>
      <c r="AJ13" s="9"/>
      <c r="AK13" s="9"/>
      <c r="AL13" s="9"/>
      <c r="AM13" s="9"/>
      <c r="AN13" s="9"/>
    </row>
    <row r="14" spans="1:40">
      <c r="E14" s="11" t="s">
        <v>18</v>
      </c>
      <c r="F14" s="19">
        <v>7001</v>
      </c>
      <c r="G14" s="20" t="s">
        <v>26</v>
      </c>
      <c r="H14" s="21">
        <v>15000</v>
      </c>
      <c r="I14" s="22">
        <v>2.4E-2</v>
      </c>
      <c r="J14" s="22">
        <v>2.4E-2</v>
      </c>
      <c r="K14" s="22">
        <v>2.5999999999999999E-2</v>
      </c>
      <c r="L14" s="22">
        <v>2.8000000000000001E-2</v>
      </c>
      <c r="M14" s="22">
        <v>2.8000000000000001E-2</v>
      </c>
      <c r="N14" s="22">
        <v>0.03</v>
      </c>
      <c r="O14" s="22">
        <v>0.04</v>
      </c>
      <c r="Q14" s="11" t="s">
        <v>18</v>
      </c>
      <c r="R14" s="19">
        <v>7001</v>
      </c>
      <c r="S14" s="20" t="s">
        <v>26</v>
      </c>
      <c r="T14" s="21">
        <v>15000</v>
      </c>
      <c r="U14" s="22">
        <v>2.9000000000000001E-2</v>
      </c>
      <c r="V14" s="22">
        <v>2.9000000000000001E-2</v>
      </c>
      <c r="W14" s="22">
        <v>3.1E-2</v>
      </c>
      <c r="X14" s="22">
        <v>3.3000000000000002E-2</v>
      </c>
      <c r="Y14" s="22">
        <v>3.3000000000000002E-2</v>
      </c>
      <c r="Z14" s="22">
        <v>3.5000000000000003E-2</v>
      </c>
      <c r="AA14" s="22">
        <v>4.4999999999999998E-2</v>
      </c>
      <c r="AF14" s="9"/>
      <c r="AG14" s="9"/>
      <c r="AH14" s="9"/>
      <c r="AI14" s="9"/>
      <c r="AJ14" s="9"/>
      <c r="AK14" s="9"/>
      <c r="AL14" s="9"/>
      <c r="AM14" s="9"/>
      <c r="AN14" s="9"/>
    </row>
    <row r="15" spans="1:40">
      <c r="E15" s="11" t="s">
        <v>18</v>
      </c>
      <c r="F15" s="19">
        <v>15001</v>
      </c>
      <c r="G15" s="20" t="s">
        <v>26</v>
      </c>
      <c r="H15" s="21">
        <v>25000</v>
      </c>
      <c r="I15" s="22">
        <v>2.1999999999999999E-2</v>
      </c>
      <c r="J15" s="22">
        <v>2.4E-2</v>
      </c>
      <c r="K15" s="22">
        <v>2.4E-2</v>
      </c>
      <c r="L15" s="22">
        <v>2.5999999999999999E-2</v>
      </c>
      <c r="M15" s="22">
        <v>2.8000000000000001E-2</v>
      </c>
      <c r="N15" s="22">
        <v>2.8000000000000001E-2</v>
      </c>
      <c r="O15" s="22">
        <v>0.04</v>
      </c>
      <c r="Q15" s="11" t="s">
        <v>18</v>
      </c>
      <c r="R15" s="19">
        <v>15001</v>
      </c>
      <c r="S15" s="20" t="s">
        <v>26</v>
      </c>
      <c r="T15" s="21">
        <v>25000</v>
      </c>
      <c r="U15" s="22">
        <v>2.7E-2</v>
      </c>
      <c r="V15" s="22">
        <v>2.9000000000000001E-2</v>
      </c>
      <c r="W15" s="22">
        <v>2.9000000000000001E-2</v>
      </c>
      <c r="X15" s="22">
        <v>3.1E-2</v>
      </c>
      <c r="Y15" s="22">
        <v>3.3000000000000002E-2</v>
      </c>
      <c r="Z15" s="22">
        <v>3.3000000000000002E-2</v>
      </c>
      <c r="AA15" s="22">
        <v>4.4999999999999998E-2</v>
      </c>
      <c r="AF15" s="9"/>
      <c r="AG15" s="9"/>
      <c r="AH15" s="9"/>
      <c r="AI15" s="9"/>
      <c r="AJ15" s="9"/>
      <c r="AK15" s="9"/>
      <c r="AL15" s="9"/>
      <c r="AM15" s="9"/>
      <c r="AN15" s="9"/>
    </row>
    <row r="16" spans="1:40">
      <c r="E16" s="11" t="s">
        <v>18</v>
      </c>
      <c r="F16" s="19">
        <v>25001</v>
      </c>
      <c r="G16" s="20" t="s">
        <v>26</v>
      </c>
      <c r="H16" s="21">
        <v>35000</v>
      </c>
      <c r="I16" s="22">
        <v>2.1999999999999999E-2</v>
      </c>
      <c r="J16" s="22">
        <v>2.1999999999999999E-2</v>
      </c>
      <c r="K16" s="22">
        <v>2.4E-2</v>
      </c>
      <c r="L16" s="22">
        <v>2.4E-2</v>
      </c>
      <c r="M16" s="22">
        <v>2.5999999999999999E-2</v>
      </c>
      <c r="N16" s="22">
        <v>2.8000000000000001E-2</v>
      </c>
      <c r="O16" s="22">
        <v>0.04</v>
      </c>
      <c r="Q16" s="11" t="s">
        <v>18</v>
      </c>
      <c r="R16" s="19">
        <v>25001</v>
      </c>
      <c r="S16" s="20" t="s">
        <v>26</v>
      </c>
      <c r="T16" s="21">
        <v>35000</v>
      </c>
      <c r="U16" s="22">
        <v>2.7E-2</v>
      </c>
      <c r="V16" s="22">
        <v>2.7E-2</v>
      </c>
      <c r="W16" s="22">
        <v>2.9000000000000001E-2</v>
      </c>
      <c r="X16" s="22">
        <v>2.9000000000000001E-2</v>
      </c>
      <c r="Y16" s="22">
        <v>3.1E-2</v>
      </c>
      <c r="Z16" s="22">
        <v>3.3000000000000002E-2</v>
      </c>
      <c r="AA16" s="22">
        <v>4.4999999999999998E-2</v>
      </c>
      <c r="AF16" s="9"/>
      <c r="AG16" s="9"/>
      <c r="AH16" s="9"/>
      <c r="AI16" s="9"/>
      <c r="AJ16" s="9"/>
      <c r="AK16" s="9"/>
      <c r="AL16" s="9"/>
      <c r="AM16" s="9"/>
      <c r="AN16" s="9"/>
    </row>
    <row r="17" spans="5:40">
      <c r="E17" s="11" t="s">
        <v>18</v>
      </c>
      <c r="F17" s="19">
        <v>35001</v>
      </c>
      <c r="G17" s="20" t="s">
        <v>26</v>
      </c>
      <c r="H17" s="21">
        <v>50000</v>
      </c>
      <c r="I17" s="22">
        <v>0.02</v>
      </c>
      <c r="J17" s="22">
        <v>2.1999999999999999E-2</v>
      </c>
      <c r="K17" s="22">
        <v>2.1999999999999999E-2</v>
      </c>
      <c r="L17" s="22">
        <v>2.4E-2</v>
      </c>
      <c r="M17" s="22">
        <v>2.4E-2</v>
      </c>
      <c r="N17" s="22">
        <v>2.5999999999999999E-2</v>
      </c>
      <c r="O17" s="22">
        <v>0.04</v>
      </c>
      <c r="Q17" s="11" t="s">
        <v>18</v>
      </c>
      <c r="R17" s="19">
        <v>35001</v>
      </c>
      <c r="S17" s="20" t="s">
        <v>26</v>
      </c>
      <c r="T17" s="21">
        <v>50000</v>
      </c>
      <c r="U17" s="22">
        <v>2.5000000000000001E-2</v>
      </c>
      <c r="V17" s="22">
        <v>2.7E-2</v>
      </c>
      <c r="W17" s="22">
        <v>2.7E-2</v>
      </c>
      <c r="X17" s="22">
        <v>2.9000000000000001E-2</v>
      </c>
      <c r="Y17" s="22">
        <v>2.9000000000000001E-2</v>
      </c>
      <c r="Z17" s="22">
        <v>3.1E-2</v>
      </c>
      <c r="AA17" s="22">
        <v>4.4999999999999998E-2</v>
      </c>
      <c r="AF17" s="9"/>
      <c r="AG17" s="9"/>
      <c r="AH17" s="9"/>
      <c r="AI17" s="9"/>
      <c r="AJ17" s="9"/>
      <c r="AK17" s="9"/>
      <c r="AL17" s="9"/>
      <c r="AM17" s="9"/>
      <c r="AN17" s="9"/>
    </row>
    <row r="18" spans="5:40">
      <c r="E18" s="11" t="s">
        <v>18</v>
      </c>
      <c r="F18" s="19">
        <v>50001</v>
      </c>
      <c r="G18" s="20" t="s">
        <v>26</v>
      </c>
      <c r="H18" s="21"/>
      <c r="I18" s="22">
        <v>0.02</v>
      </c>
      <c r="J18" s="22">
        <v>0.02</v>
      </c>
      <c r="K18" s="22">
        <v>2.1999999999999999E-2</v>
      </c>
      <c r="L18" s="22">
        <v>2.1999999999999999E-2</v>
      </c>
      <c r="M18" s="22">
        <v>2.4E-2</v>
      </c>
      <c r="N18" s="22">
        <v>2.4E-2</v>
      </c>
      <c r="O18" s="22">
        <v>0.04</v>
      </c>
      <c r="Q18" s="11" t="s">
        <v>18</v>
      </c>
      <c r="R18" s="19">
        <v>50001</v>
      </c>
      <c r="S18" s="20" t="s">
        <v>26</v>
      </c>
      <c r="T18" s="21"/>
      <c r="U18" s="22">
        <v>2.5000000000000001E-2</v>
      </c>
      <c r="V18" s="22">
        <v>2.5000000000000001E-2</v>
      </c>
      <c r="W18" s="22">
        <v>2.7E-2</v>
      </c>
      <c r="X18" s="22">
        <v>2.7E-2</v>
      </c>
      <c r="Y18" s="22">
        <v>2.9000000000000001E-2</v>
      </c>
      <c r="Z18" s="22">
        <v>2.9000000000000001E-2</v>
      </c>
      <c r="AA18" s="22">
        <v>4.4999999999999998E-2</v>
      </c>
      <c r="AF18" s="9"/>
      <c r="AG18" s="9"/>
      <c r="AH18" s="9"/>
      <c r="AI18" s="9"/>
      <c r="AJ18" s="9"/>
      <c r="AK18" s="9"/>
      <c r="AL18" s="9"/>
      <c r="AM18" s="9"/>
      <c r="AN18" s="9"/>
    </row>
    <row r="20" spans="5:40">
      <c r="F20" s="16"/>
      <c r="G20" s="16"/>
      <c r="H20" s="17"/>
      <c r="I20" s="12" t="s">
        <v>25</v>
      </c>
      <c r="J20" s="28"/>
      <c r="K20" s="28"/>
      <c r="L20" s="28"/>
      <c r="M20" s="28"/>
      <c r="N20" s="28"/>
      <c r="O20" s="28"/>
      <c r="R20" s="16"/>
      <c r="S20" s="16"/>
      <c r="T20" s="17"/>
      <c r="U20" s="12" t="s">
        <v>25</v>
      </c>
      <c r="V20" s="28"/>
      <c r="W20" s="28"/>
      <c r="X20" s="28"/>
      <c r="Y20" s="28"/>
      <c r="Z20" s="28"/>
      <c r="AA20" s="28"/>
    </row>
    <row r="21" spans="5:40">
      <c r="E21" s="14" t="s">
        <v>29</v>
      </c>
      <c r="F21" s="15" t="s">
        <v>27</v>
      </c>
      <c r="G21" s="16"/>
      <c r="H21" s="17"/>
      <c r="I21" s="18">
        <v>999999999</v>
      </c>
      <c r="J21" s="18">
        <v>5000000</v>
      </c>
      <c r="K21" s="18">
        <v>1000000</v>
      </c>
      <c r="L21" s="18">
        <v>500000</v>
      </c>
      <c r="M21" s="18"/>
      <c r="N21" s="18"/>
      <c r="O21" s="18"/>
      <c r="Q21" s="14" t="s">
        <v>30</v>
      </c>
      <c r="R21" s="15" t="s">
        <v>27</v>
      </c>
      <c r="S21" s="16"/>
      <c r="T21" s="17"/>
      <c r="U21" s="18">
        <v>999999999</v>
      </c>
      <c r="V21" s="18">
        <v>5000000</v>
      </c>
      <c r="W21" s="18">
        <v>1000000</v>
      </c>
      <c r="X21" s="18">
        <v>500000</v>
      </c>
      <c r="Y21" s="18"/>
      <c r="Z21" s="18"/>
      <c r="AA21" s="18"/>
    </row>
    <row r="22" spans="5:40">
      <c r="E22" s="11" t="s">
        <v>19</v>
      </c>
      <c r="F22" s="19">
        <v>0</v>
      </c>
      <c r="G22" s="20" t="s">
        <v>26</v>
      </c>
      <c r="H22" s="21"/>
      <c r="I22" s="22">
        <v>3.5000000000000003E-2</v>
      </c>
      <c r="J22" s="22">
        <v>0.04</v>
      </c>
      <c r="K22" s="22">
        <v>4.4999999999999998E-2</v>
      </c>
      <c r="L22" s="22">
        <v>0.05</v>
      </c>
      <c r="M22" s="22"/>
      <c r="N22" s="22"/>
      <c r="O22" s="22"/>
      <c r="Q22" s="11" t="s">
        <v>19</v>
      </c>
      <c r="R22" s="19">
        <v>0</v>
      </c>
      <c r="S22" s="20" t="s">
        <v>26</v>
      </c>
      <c r="T22" s="21"/>
      <c r="U22" s="22">
        <v>0.04</v>
      </c>
      <c r="V22" s="22">
        <v>4.4999999999999998E-2</v>
      </c>
      <c r="W22" s="22">
        <v>0.05</v>
      </c>
      <c r="X22" s="22">
        <v>5.5E-2</v>
      </c>
      <c r="Y22" s="22"/>
      <c r="Z22" s="22"/>
      <c r="AA22" s="22"/>
    </row>
    <row r="24" spans="5:40">
      <c r="F24" s="16"/>
      <c r="G24" s="16"/>
      <c r="H24" s="17"/>
      <c r="I24" s="12" t="s">
        <v>25</v>
      </c>
      <c r="J24" s="28"/>
      <c r="K24" s="28"/>
      <c r="L24" s="28"/>
      <c r="M24" s="28"/>
      <c r="N24" s="28"/>
      <c r="O24" s="28"/>
      <c r="R24" s="16"/>
      <c r="S24" s="16"/>
      <c r="T24" s="17"/>
      <c r="U24" s="12" t="s">
        <v>25</v>
      </c>
      <c r="V24" s="28"/>
      <c r="W24" s="28"/>
      <c r="X24" s="28"/>
      <c r="Y24" s="28"/>
      <c r="Z24" s="28"/>
      <c r="AA24" s="28"/>
    </row>
    <row r="25" spans="5:40">
      <c r="E25" s="14" t="s">
        <v>29</v>
      </c>
      <c r="F25" s="15" t="s">
        <v>27</v>
      </c>
      <c r="G25" s="16"/>
      <c r="H25" s="17"/>
      <c r="I25" s="18">
        <v>999999999</v>
      </c>
      <c r="J25" s="18">
        <v>5000000</v>
      </c>
      <c r="K25" s="18">
        <v>1000000</v>
      </c>
      <c r="L25" s="18">
        <v>500000</v>
      </c>
      <c r="M25" s="18"/>
      <c r="N25" s="18"/>
      <c r="O25" s="18"/>
      <c r="Q25" s="14" t="s">
        <v>30</v>
      </c>
      <c r="R25" s="15" t="s">
        <v>27</v>
      </c>
      <c r="S25" s="16"/>
      <c r="T25" s="17"/>
      <c r="U25" s="18">
        <v>999999999</v>
      </c>
      <c r="V25" s="18">
        <v>5000000</v>
      </c>
      <c r="W25" s="18">
        <v>1000000</v>
      </c>
      <c r="X25" s="18">
        <v>500000</v>
      </c>
      <c r="Y25" s="18"/>
      <c r="Z25" s="18"/>
      <c r="AA25" s="18"/>
    </row>
    <row r="26" spans="5:40">
      <c r="E26" s="11" t="s">
        <v>20</v>
      </c>
      <c r="F26" s="19">
        <v>0</v>
      </c>
      <c r="G26" s="20" t="s">
        <v>26</v>
      </c>
      <c r="H26" s="21"/>
      <c r="I26" s="22">
        <v>3.5000000000000003E-2</v>
      </c>
      <c r="J26" s="22">
        <v>0.04</v>
      </c>
      <c r="K26" s="22">
        <v>4.4999999999999998E-2</v>
      </c>
      <c r="L26" s="22">
        <v>0.05</v>
      </c>
      <c r="M26" s="22"/>
      <c r="N26" s="22"/>
      <c r="O26" s="22"/>
      <c r="Q26" s="11" t="s">
        <v>20</v>
      </c>
      <c r="R26" s="19">
        <v>0</v>
      </c>
      <c r="S26" s="20" t="s">
        <v>26</v>
      </c>
      <c r="T26" s="21"/>
      <c r="U26" s="22">
        <v>0.04</v>
      </c>
      <c r="V26" s="22">
        <v>4.4999999999999998E-2</v>
      </c>
      <c r="W26" s="22">
        <v>0.05</v>
      </c>
      <c r="X26" s="22">
        <v>5.5E-2</v>
      </c>
      <c r="Y26" s="22"/>
      <c r="Z26" s="22"/>
      <c r="AA26" s="22"/>
    </row>
    <row r="28" spans="5:40">
      <c r="F28" s="16"/>
      <c r="G28" s="16"/>
      <c r="H28" s="17"/>
      <c r="I28" s="12" t="s">
        <v>25</v>
      </c>
      <c r="J28" s="28"/>
      <c r="K28" s="28"/>
      <c r="L28" s="28"/>
      <c r="M28" s="28"/>
      <c r="N28" s="28"/>
      <c r="O28" s="28"/>
      <c r="R28" s="16"/>
      <c r="S28" s="16"/>
      <c r="T28" s="17"/>
      <c r="U28" s="12" t="s">
        <v>25</v>
      </c>
      <c r="V28" s="28"/>
      <c r="W28" s="28"/>
      <c r="X28" s="28"/>
      <c r="Y28" s="28"/>
      <c r="Z28" s="28"/>
      <c r="AA28" s="28"/>
    </row>
    <row r="29" spans="5:40">
      <c r="E29" s="14" t="s">
        <v>29</v>
      </c>
      <c r="F29" s="15" t="s">
        <v>27</v>
      </c>
      <c r="G29" s="16"/>
      <c r="H29" s="17"/>
      <c r="I29" s="18">
        <v>999999999</v>
      </c>
      <c r="J29" s="18">
        <v>10000000</v>
      </c>
      <c r="K29" s="18">
        <v>5000000</v>
      </c>
      <c r="L29" s="18">
        <v>1000000</v>
      </c>
      <c r="M29" s="18">
        <v>500000</v>
      </c>
      <c r="N29" s="18"/>
      <c r="O29" s="18"/>
      <c r="Q29" s="14" t="s">
        <v>30</v>
      </c>
      <c r="R29" s="15" t="s">
        <v>27</v>
      </c>
      <c r="S29" s="16"/>
      <c r="T29" s="17"/>
      <c r="U29" s="18">
        <v>999999999</v>
      </c>
      <c r="V29" s="18">
        <v>10000000</v>
      </c>
      <c r="W29" s="18">
        <v>5000000</v>
      </c>
      <c r="X29" s="18">
        <v>1000000</v>
      </c>
      <c r="Y29" s="18">
        <v>500000</v>
      </c>
      <c r="Z29" s="18"/>
      <c r="AA29" s="18"/>
    </row>
    <row r="30" spans="5:40">
      <c r="E30" s="11" t="s">
        <v>31</v>
      </c>
      <c r="F30" s="19">
        <v>0</v>
      </c>
      <c r="G30" s="20" t="s">
        <v>26</v>
      </c>
      <c r="H30" s="21"/>
      <c r="I30" s="22">
        <v>3.5000000000000003E-2</v>
      </c>
      <c r="J30" s="22">
        <v>4.4999999999999998E-2</v>
      </c>
      <c r="K30" s="22">
        <v>5.5E-2</v>
      </c>
      <c r="L30" s="22">
        <v>0.06</v>
      </c>
      <c r="M30" s="22">
        <v>6.5000000000000002E-2</v>
      </c>
      <c r="N30" s="22"/>
      <c r="O30" s="22"/>
      <c r="Q30" s="11" t="s">
        <v>31</v>
      </c>
      <c r="R30" s="19">
        <v>0</v>
      </c>
      <c r="S30" s="20" t="s">
        <v>26</v>
      </c>
      <c r="T30" s="21"/>
      <c r="U30" s="22">
        <v>0.04</v>
      </c>
      <c r="V30" s="22">
        <v>0.05</v>
      </c>
      <c r="W30" s="22">
        <v>0.06</v>
      </c>
      <c r="X30" s="22">
        <v>6.5000000000000002E-2</v>
      </c>
      <c r="Y30" s="22">
        <v>7.0000000000000007E-2</v>
      </c>
      <c r="Z30" s="22"/>
      <c r="AA30" s="22"/>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X D w W u N n / e e l A A A A 9 g A A A B I A H A B D b 2 5 m a W c v U G F j a 2 F n Z S 5 4 b W w g o h g A K K A U A A A A A A A A A A A A A A A A A A A A A A A A A A A A h Y 9 N D o I w G E S v Q r q n P 0 i C I R 9 l 4 c 5 I Q m J i 3 D Z Q o Q r F 0 G K 5 m w u P 5 B X E K O r O 5 b x 5 i 5 n 7 9 Q b p 2 D b e R f Z G d T p B D F P k S V 1 0 p d J V g g Z 7 8 J c o 5 Z C L 4 i Q q 6 U 2 y N v F o y g T V 1 p 5 j Q p x z 2 C 1 w 1 1 c k o J S R f b b Z F r V s B f r I 6 r / s K 2 2 s 0 I V E H H a v M T z A L A w x i y J M g c w Q M q W / Q j D t f b Y / E F Z D Y 4 d e 8 q P w 1 z m Q O Q J 5 f + A P U E s D B B Q A A g A I A G 1 w 8 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t c P B a K I p H u A 4 A A A A R A A A A E w A c A E Z v c m 1 1 b G F z L 1 N l Y 3 R p b 2 4 x L m 0 g o h g A K K A U A A A A A A A A A A A A A A A A A A A A A A A A A A A A K 0 5 N L s n M z 1 M I h t C G 1 g B Q S w E C L Q A U A A I A C A B t c P B a 4 2 f 9 5 6 U A A A D 2 A A A A E g A A A A A A A A A A A A A A A A A A A A A A Q 2 9 u Z m l n L 1 B h Y 2 t h Z 2 U u e G 1 s U E s B A i 0 A F A A C A A g A b X D w W g / K 6 a u k A A A A 6 Q A A A B M A A A A A A A A A A A A A A A A A 8 Q A A A F t D b 2 5 0 Z W 5 0 X 1 R 5 c G V z X S 5 4 b W x Q S w E C L Q A U A A I A C A B t c P B 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j D X y v S / 6 z k + E 9 3 H E C / Z 9 T w A A A A A C A A A A A A A Q Z g A A A A E A A C A A A A A t w b H E q u 7 Z 2 S X g D / A D 7 N Q 9 8 s b v K b S a J z H T 8 K 0 P g R / 3 / A A A A A A O g A A A A A I A A C A A A A B m V 8 / / u 5 + b c t h p 5 H 3 q W F / x r Y h t Y B y h 1 h K C N S w s Z T + 7 V F A A A A D V t K E m 2 b 1 7 F S P j V 7 6 I U E L 9 N Q b s q + N x V 4 T W 1 b C p r / D 8 c y u t a c I C z k Q r w 0 7 k Q d g 7 H R 6 X t m x X F 9 X 9 T N 8 C d n 4 X 1 / H Z / v / I h Z c v Z R v 0 F d 5 S d H + u e 0 A A A A A m x x j T f R h J t N k h R O 3 F 8 j d W r C B K 9 w 5 C F 3 k G z n V 3 M z p n w p S L K v w 3 D + a C h E v r 7 b 3 O T 0 S 1 L C M A H p n 6 V x 3 0 a j E V 0 M J / < / D a t a M a s h u p > 
</file>

<file path=customXml/itemProps1.xml><?xml version="1.0" encoding="utf-8"?>
<ds:datastoreItem xmlns:ds="http://schemas.openxmlformats.org/officeDocument/2006/customXml" ds:itemID="{355E5B13-D1D6-4940-88E0-0FCB60CE93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試算表</vt:lpstr>
      <vt:lpstr>複数買い最適化</vt:lpstr>
      <vt:lpstr>マニュアル</vt:lpstr>
      <vt:lpstr>①店舗情報</vt:lpstr>
      <vt:lpstr>配送サイズ</vt:lpstr>
      <vt:lpstr>②送料</vt:lpstr>
      <vt:lpstr>③RPP</vt:lpstr>
      <vt:lpstr>④商品別売上データ</vt:lpstr>
      <vt:lpstr>手数料</vt:lpstr>
      <vt:lpstr>RSL</vt:lpstr>
      <vt:lpstr>メール便</vt:lpstr>
      <vt:lpstr>送料負担なし</vt:lpstr>
      <vt:lpstr>宅急便</vt:lpstr>
      <vt:lpstr>宅急便コンパクト</vt:lpstr>
      <vt:lpstr>宅配便</vt:lpstr>
      <vt:lpstr>定形外郵便規格外</vt:lpstr>
      <vt:lpstr>定形外郵便規格内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やよいネーションズ</dc:creator>
  <cp:lastModifiedBy>勝太 西尾</cp:lastModifiedBy>
  <dcterms:created xsi:type="dcterms:W3CDTF">2024-07-12T23:52:21Z</dcterms:created>
  <dcterms:modified xsi:type="dcterms:W3CDTF">2025-08-27T13:12:41Z</dcterms:modified>
</cp:coreProperties>
</file>